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3D1A710C-6663-3D7B-7F91-EC182F24A4BC}"/>
  <workbookPr showInkAnnotation="0" codeName="ThisWorkbook"/>
  <mc:AlternateContent xmlns:mc="http://schemas.openxmlformats.org/markup-compatibility/2006">
    <mc:Choice Requires="x15">
      <x15ac:absPath xmlns:x15ac="http://schemas.microsoft.com/office/spreadsheetml/2010/11/ac" url="F:\usbc car module\usbc-car-module\excel\"/>
    </mc:Choice>
  </mc:AlternateContent>
  <xr:revisionPtr revIDLastSave="0" documentId="13_ncr:1_{6C17A1FF-AA50-43B8-8A13-1BAC58FA0772}"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20" yWindow="-120" windowWidth="29040" windowHeight="1584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5" i="2" l="1"/>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53" i="2"/>
  <c r="B57" i="2" s="1"/>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50" i="23"/>
  <c r="N50" i="23" s="1"/>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25" i="23"/>
  <c r="N25"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4" i="23" l="1"/>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P87" i="23" s="1"/>
  <c r="Q87" i="23" s="1"/>
  <c r="AE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P14" i="23" s="1"/>
  <c r="Q14" i="23" s="1"/>
  <c r="AE14" i="23" s="1"/>
  <c r="M19" i="23"/>
  <c r="N19" i="23" s="1"/>
  <c r="O19" i="23" s="1"/>
  <c r="M47" i="23"/>
  <c r="N47" i="23" s="1"/>
  <c r="P47" i="23" s="1"/>
  <c r="Q47" i="23" s="1"/>
  <c r="AE47" i="23" s="1"/>
  <c r="M30" i="23"/>
  <c r="N30" i="23" s="1"/>
  <c r="O30" i="23" s="1"/>
  <c r="C65" i="16"/>
  <c r="D65" i="16" s="1"/>
  <c r="B95" i="2"/>
  <c r="E20" i="1" s="1"/>
  <c r="C64" i="16"/>
  <c r="B183" i="2"/>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66" i="23"/>
  <c r="Q66" i="23" s="1"/>
  <c r="AE66"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O56" i="23"/>
  <c r="P56" i="23"/>
  <c r="Q56" i="23" s="1"/>
  <c r="AE56" i="23" s="1"/>
  <c r="M131" i="2"/>
  <c r="D131" i="2"/>
  <c r="K131" i="2"/>
  <c r="K134" i="2" s="1"/>
  <c r="B68" i="2"/>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D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B192"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AJ60" i="23"/>
  <c r="AF60" i="23"/>
  <c r="O14" i="23"/>
  <c r="AJ87" i="23"/>
  <c r="V87" i="23"/>
  <c r="W87" i="23" s="1"/>
  <c r="X87" i="23" s="1"/>
  <c r="AF87" i="23"/>
  <c r="O87" i="23"/>
  <c r="B113" i="2"/>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D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89" i="23" l="1"/>
  <c r="AK47" i="23"/>
  <c r="AK58" i="23"/>
  <c r="AK97" i="23"/>
  <c r="AK24" i="23"/>
  <c r="J22" i="1"/>
  <c r="F230" i="2"/>
  <c r="B227" i="2"/>
  <c r="B226" i="2"/>
  <c r="B194" i="2"/>
  <c r="B197" i="2"/>
  <c r="F6" i="17" s="1"/>
  <c r="S70" i="23"/>
  <c r="U70" i="23" s="1"/>
  <c r="AN70" i="23"/>
  <c r="BE70" i="23" s="1"/>
  <c r="S88" i="23"/>
  <c r="U88" i="23" s="1"/>
  <c r="AN88" i="23"/>
  <c r="BE88" i="23" s="1"/>
  <c r="S29" i="23"/>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BE105" i="23"/>
  <c r="W79" i="23"/>
  <c r="X79" i="23" s="1"/>
  <c r="W20" i="23"/>
  <c r="X20" i="23" s="1"/>
  <c r="W71" i="23"/>
  <c r="X71" i="23" s="1"/>
  <c r="AC18" i="23"/>
  <c r="AI91" i="23"/>
  <c r="AI20" i="23"/>
  <c r="AC79" i="23"/>
  <c r="W97" i="23"/>
  <c r="X97" i="23" s="1"/>
  <c r="W62" i="23"/>
  <c r="X62" i="23" s="1"/>
  <c r="W70" i="23"/>
  <c r="X70" i="23" s="1"/>
  <c r="W28" i="23"/>
  <c r="X28" i="23" s="1"/>
  <c r="AI87" i="23"/>
  <c r="U29"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U56" i="23" s="1"/>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BE41" i="23" s="1"/>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AN53" i="23"/>
  <c r="BE53" i="23" s="1"/>
  <c r="S86" i="23"/>
  <c r="U86" i="23" s="1"/>
  <c r="AN86" i="23"/>
  <c r="S65" i="23"/>
  <c r="U65" i="23" s="1"/>
  <c r="AN65" i="23"/>
  <c r="BE65" i="23" s="1"/>
  <c r="S74" i="23"/>
  <c r="U74" i="23" s="1"/>
  <c r="AN74" i="23"/>
  <c r="BE74" i="23" s="1"/>
  <c r="S54" i="23"/>
  <c r="U54" i="23" s="1"/>
  <c r="AN54" i="23"/>
  <c r="BE54" i="23" s="1"/>
  <c r="S104" i="23"/>
  <c r="U104" i="23" s="1"/>
  <c r="AN104" i="23"/>
  <c r="BE104" i="23" s="1"/>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BE86" i="23"/>
  <c r="U48" i="23"/>
  <c r="W16" i="23"/>
  <c r="X16" i="23" s="1"/>
  <c r="W67" i="23"/>
  <c r="X67" i="23" s="1"/>
  <c r="W25" i="23"/>
  <c r="X25" i="23" s="1"/>
  <c r="W50" i="23"/>
  <c r="X50" i="23" s="1"/>
  <c r="W44" i="23"/>
  <c r="X44" i="23" s="1"/>
  <c r="BE68" i="23"/>
  <c r="W42" i="23"/>
  <c r="X42" i="23" s="1"/>
  <c r="W41" i="23"/>
  <c r="X41" i="23" s="1"/>
  <c r="W54" i="23"/>
  <c r="X54" i="23" s="1"/>
  <c r="W58" i="23"/>
  <c r="X58" i="23" s="1"/>
  <c r="W14" i="23"/>
  <c r="X14" i="23" s="1"/>
  <c r="W69" i="23"/>
  <c r="X69" i="23" s="1"/>
  <c r="W19" i="23"/>
  <c r="X19" i="23" s="1"/>
  <c r="W49" i="23"/>
  <c r="X49" i="23" s="1"/>
  <c r="U53" i="23"/>
  <c r="U39" i="23"/>
  <c r="W48" i="23"/>
  <c r="X48" i="23" s="1"/>
  <c r="W103" i="23"/>
  <c r="X103" i="23" s="1"/>
  <c r="U98" i="23"/>
  <c r="BE90" i="23"/>
  <c r="U90" i="23"/>
  <c r="W92" i="23"/>
  <c r="X92" i="23" s="1"/>
  <c r="W11" i="23"/>
  <c r="X11" i="23" s="1"/>
  <c r="W78" i="23"/>
  <c r="X78" i="23" s="1"/>
  <c r="W73" i="23"/>
  <c r="X73" i="23" s="1"/>
  <c r="W56" i="23"/>
  <c r="X56" i="23" s="1"/>
  <c r="W32" i="23"/>
  <c r="X32" i="23" s="1"/>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AA32" i="25" s="1"/>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D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D71" i="1" s="1"/>
  <c r="O32" i="8"/>
  <c r="C72" i="1" s="1"/>
  <c r="D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AD129" i="17" s="1"/>
  <c r="AE129" i="17" s="1"/>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E477" i="17" l="1"/>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<sst xmlns="http://schemas.openxmlformats.org/spreadsheetml/2006/main" count="1964" uniqueCount="863">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</sst>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quot;Capacitor, Ceramic, &quot;General&quot;-µF, 25V, X5R, 20%&quot;"/>
    <numFmt numFmtId="177" formatCode="&quot;Capacitor, Ceramic, &quot;General&quot;-pF, 50V, NP0, 5%&quot;"/>
    <numFmt numFmtId="178" formatCode="&quot;Capacitor, Ceramic, &quot;General&quot;-nF, 16V, X7R, 10%&quot;"/>
    <numFmt numFmtId="179" formatCode="&quot;Capacitor, Ceramic, &quot;General&quot;-µF, 25V, X7R, 20%&quot;"/>
    <numFmt numFmtId="180" formatCode="General&quot;µH&quot;"/>
    <numFmt numFmtId="181" formatCode="&quot;Inductor, &quot;General&quot;-µH, 10%&quot;"/>
    <numFmt numFmtId="182" formatCode="&quot;Resistor, Chip, &quot;General&quot;-kΩ, 1/16W, 1%&quot;"/>
    <numFmt numFmtId="183" formatCode="&quot;Resistor, Chip, &quot;General&quot;-Ω, 1/16W, 1%&quot;"/>
    <numFmt numFmtId="184" formatCode="0.0%"/>
    <numFmt numFmtId="185" formatCode="0.0E+00"/>
    <numFmt numFmtId="186" formatCode="General&quot;m&quot;"/>
    <numFmt numFmtId="187" formatCode="&quot;Capacitor, Ceramic, &quot;General&quot;-µF, 50V, X7R, 20%&quot;"/>
    <numFmt numFmtId="188" formatCode="&quot;Resistor, Chip, &quot;General&quot;-mΩ, 2W, 1%&quot;"/>
    <numFmt numFmtId="189" formatCode="0.0.E+00"/>
    <numFmt numFmtId="190" formatCode="&quot;MOSFET, N-CH, 40V, &quot;General&quot;mΩ&quot;"/>
    <numFmt numFmtId="191"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1" fontId="69" fillId="18" borderId="0" xfId="0" applyNumberFormat="1" applyFont="1" applyFill="1" applyAlignment="1">
      <alignment horizontal="center"/>
    </xf>
    <xf numFmtId="0" fontId="69" fillId="18" borderId="0" xfId="0" applyFont="1" applyFill="1"/>
    <xf numFmtId="171"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0"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8" fontId="2" fillId="9" borderId="0" xfId="0" applyNumberFormat="1" applyFont="1" applyFill="1"/>
    <xf numFmtId="2" fontId="0" fillId="22" borderId="0" xfId="0" applyNumberFormat="1" applyFill="1"/>
    <xf numFmtId="1" fontId="0" fillId="1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 fontId="0" fillId="24" borderId="0" xfId="0" applyNumberFormat="1" applyFill="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7" fontId="62"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84"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5" fillId="0" borderId="0" xfId="0" applyNumberFormat="1" applyFont="1"/>
    <xf numFmtId="185" fontId="3" fillId="12" borderId="0" xfId="0" applyNumberFormat="1" applyFont="1" applyFill="1"/>
    <xf numFmtId="185" fontId="2" fillId="4" borderId="0" xfId="0" applyNumberFormat="1" applyFont="1" applyFill="1"/>
    <xf numFmtId="185" fontId="30" fillId="4" borderId="0" xfId="0" applyNumberFormat="1" applyFont="1" applyFill="1"/>
    <xf numFmtId="185" fontId="0" fillId="12" borderId="0" xfId="0" applyNumberFormat="1" applyFill="1"/>
    <xf numFmtId="185"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186" fontId="2" fillId="21" borderId="11" xfId="3" applyNumberFormat="1" applyFill="1" applyBorder="1" applyAlignment="1">
      <alignment horizontal="center" vertical="center"/>
    </xf>
    <xf numFmtId="172"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8" fontId="0" fillId="0" borderId="0" xfId="0" applyNumberFormat="1" applyAlignment="1">
      <alignment horizontal="left"/>
    </xf>
    <xf numFmtId="0" fontId="67"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9"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85" fontId="3" fillId="0" borderId="0" xfId="0" applyNumberFormat="1" applyFont="1"/>
    <xf numFmtId="2" fontId="30" fillId="0" borderId="0" xfId="0" applyNumberFormat="1" applyFont="1"/>
    <xf numFmtId="0" fontId="74"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84" fontId="0" fillId="0" borderId="0" xfId="0" applyNumberFormat="1"/>
    <xf numFmtId="0" fontId="3" fillId="0" borderId="28" xfId="0" applyFont="1" applyBorder="1" applyAlignment="1">
      <alignment horizontal="center"/>
    </xf>
    <xf numFmtId="167" fontId="82"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8"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8"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7"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8"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0" fontId="2" fillId="27" borderId="0" xfId="0" applyFont="1" applyFill="1"/>
    <xf numFmtId="184" fontId="8" fillId="0" borderId="0" xfId="0" applyNumberFormat="1" applyFont="1"/>
    <xf numFmtId="167"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85"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89" fontId="0" fillId="23" borderId="0" xfId="0" applyNumberFormat="1" applyFill="1"/>
    <xf numFmtId="168"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6" fontId="3" fillId="0" borderId="18" xfId="3" applyNumberFormat="1" applyFont="1" applyBorder="1" applyAlignment="1">
      <alignment horizontal="center"/>
    </xf>
    <xf numFmtId="166" fontId="3" fillId="0" borderId="11" xfId="3" applyNumberFormat="1" applyFont="1" applyBorder="1" applyAlignment="1">
      <alignment horizontal="center"/>
    </xf>
    <xf numFmtId="166" fontId="3" fillId="0" borderId="58" xfId="3" applyNumberFormat="1" applyFont="1" applyBorder="1" applyAlignment="1">
      <alignment horizontal="center"/>
    </xf>
    <xf numFmtId="166" fontId="3" fillId="0" borderId="12" xfId="3" applyNumberFormat="1" applyFont="1" applyBorder="1" applyAlignment="1">
      <alignment horizontal="center"/>
    </xf>
    <xf numFmtId="166" fontId="3" fillId="0" borderId="68" xfId="3" applyNumberFormat="1" applyFont="1" applyBorder="1" applyAlignment="1">
      <alignment horizontal="center"/>
    </xf>
    <xf numFmtId="166" fontId="3" fillId="0" borderId="8" xfId="3" applyNumberFormat="1" applyFont="1" applyBorder="1" applyAlignment="1">
      <alignment horizontal="center"/>
    </xf>
    <xf numFmtId="166" fontId="3" fillId="0" borderId="67" xfId="3" applyNumberFormat="1" applyFont="1" applyBorder="1" applyAlignment="1">
      <alignment horizontal="center"/>
    </xf>
    <xf numFmtId="166" fontId="3" fillId="0" borderId="69" xfId="3" applyNumberFormat="1" applyFont="1" applyBorder="1" applyAlignment="1">
      <alignment horizontal="center"/>
    </xf>
    <xf numFmtId="164"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4"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8" fontId="30" fillId="22" borderId="0" xfId="0" applyNumberFormat="1" applyFont="1" applyFill="1" applyAlignment="1">
      <alignment horizontal="right"/>
    </xf>
    <xf numFmtId="168"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69"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78" fontId="2" fillId="21" borderId="8" xfId="3" applyNumberFormat="1" applyFill="1" applyBorder="1" applyAlignment="1">
      <alignment horizontal="left" vertical="center"/>
    </xf>
    <xf numFmtId="178" fontId="2" fillId="21" borderId="9"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82" fontId="2" fillId="21" borderId="8" xfId="3" applyNumberFormat="1" applyFill="1" applyBorder="1" applyAlignment="1">
      <alignment horizontal="left" vertical="center"/>
    </xf>
    <xf numFmtId="182" fontId="2" fillId="21" borderId="9" xfId="3" applyNumberFormat="1" applyFill="1" applyBorder="1" applyAlignment="1">
      <alignment horizontal="left" vertical="center"/>
    </xf>
    <xf numFmtId="182" fontId="2" fillId="21" borderId="15" xfId="3" applyNumberFormat="1" applyFill="1" applyBorder="1" applyAlignment="1">
      <alignment horizontal="left" vertical="center"/>
    </xf>
    <xf numFmtId="190" fontId="2" fillId="16" borderId="8" xfId="3" applyNumberFormat="1" applyFill="1" applyBorder="1" applyAlignment="1">
      <alignment horizontal="left" vertical="center"/>
    </xf>
    <xf numFmtId="190" fontId="2" fillId="16" borderId="9" xfId="3" applyNumberFormat="1" applyFill="1" applyBorder="1" applyAlignment="1">
      <alignment horizontal="left" vertical="center"/>
    </xf>
    <xf numFmtId="190"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1" fontId="2" fillId="20" borderId="8" xfId="3" applyNumberFormat="1" applyFill="1" applyBorder="1" applyAlignment="1">
      <alignment horizontal="left" vertical="center"/>
    </xf>
    <xf numFmtId="181" fontId="2" fillId="20" borderId="9" xfId="3" applyNumberFormat="1" applyFill="1" applyBorder="1" applyAlignment="1">
      <alignment horizontal="left" vertical="center"/>
    </xf>
    <xf numFmtId="181" fontId="2" fillId="20" borderId="15" xfId="3" applyNumberFormat="1" applyFill="1" applyBorder="1" applyAlignment="1">
      <alignment horizontal="left" vertical="center"/>
    </xf>
    <xf numFmtId="179" fontId="2" fillId="9" borderId="8" xfId="3" applyNumberFormat="1" applyFill="1" applyBorder="1" applyAlignment="1">
      <alignment horizontal="left" vertical="center"/>
    </xf>
    <xf numFmtId="179" fontId="2" fillId="9"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9" fontId="2" fillId="16" borderId="8" xfId="3" applyNumberFormat="1" applyFill="1" applyBorder="1" applyAlignment="1">
      <alignment horizontal="left" vertical="center"/>
    </xf>
    <xf numFmtId="179" fontId="2" fillId="16"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76" fontId="2" fillId="16" borderId="8" xfId="3" applyNumberFormat="1" applyFill="1" applyBorder="1" applyAlignment="1">
      <alignment horizontal="left" vertical="center"/>
    </xf>
    <xf numFmtId="0" fontId="0" fillId="0" borderId="9" xfId="0" applyBorder="1"/>
    <xf numFmtId="191" fontId="2" fillId="20" borderId="8" xfId="3" applyNumberFormat="1" applyFill="1" applyBorder="1" applyAlignment="1">
      <alignment horizontal="left" vertical="center"/>
    </xf>
    <xf numFmtId="191" fontId="2" fillId="20" borderId="9" xfId="3" applyNumberFormat="1" applyFill="1" applyBorder="1" applyAlignment="1">
      <alignment horizontal="left" vertical="center"/>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101.92043912173078</c:v>
                </c:pt>
                <c:pt idx="1">
                  <c:v>101.90522089016736</c:v>
                </c:pt>
                <c:pt idx="2">
                  <c:v>101.88699629865489</c:v>
                </c:pt>
                <c:pt idx="3">
                  <c:v>101.86518746335217</c:v>
                </c:pt>
                <c:pt idx="4">
                  <c:v>101.83913101367048</c:v>
                </c:pt>
                <c:pt idx="5">
                  <c:v>101.80797944021974</c:v>
                </c:pt>
                <c:pt idx="6">
                  <c:v>101.7708339595352</c:v>
                </c:pt>
                <c:pt idx="7">
                  <c:v>101.72657841285989</c:v>
                </c:pt>
                <c:pt idx="8">
                  <c:v>101.67398388817435</c:v>
                </c:pt>
                <c:pt idx="9">
                  <c:v>101.61156201168563</c:v>
                </c:pt>
                <c:pt idx="10">
                  <c:v>101.53769874564118</c:v>
                </c:pt>
                <c:pt idx="11">
                  <c:v>101.45053477590261</c:v>
                </c:pt>
                <c:pt idx="12">
                  <c:v>101.34795570854557</c:v>
                </c:pt>
                <c:pt idx="13">
                  <c:v>101.22780836590263</c:v>
                </c:pt>
                <c:pt idx="14">
                  <c:v>101.08758204333945</c:v>
                </c:pt>
                <c:pt idx="15">
                  <c:v>100.92478143907374</c:v>
                </c:pt>
                <c:pt idx="16">
                  <c:v>100.73679404694553</c:v>
                </c:pt>
                <c:pt idx="17">
                  <c:v>100.52107401716684</c:v>
                </c:pt>
                <c:pt idx="18">
                  <c:v>100.27510366243577</c:v>
                </c:pt>
                <c:pt idx="19">
                  <c:v>99.996728744861656</c:v>
                </c:pt>
                <c:pt idx="20">
                  <c:v>99.684026752080712</c:v>
                </c:pt>
                <c:pt idx="21">
                  <c:v>99.335652110879678</c:v>
                </c:pt>
                <c:pt idx="22">
                  <c:v>98.950664033020246</c:v>
                </c:pt>
                <c:pt idx="23">
                  <c:v>98.528892364288254</c:v>
                </c:pt>
                <c:pt idx="24">
                  <c:v>98.070579751795037</c:v>
                </c:pt>
                <c:pt idx="25">
                  <c:v>97.576733326598458</c:v>
                </c:pt>
                <c:pt idx="26">
                  <c:v>97.048700578897765</c:v>
                </c:pt>
                <c:pt idx="27">
                  <c:v>96.488555441416423</c:v>
                </c:pt>
                <c:pt idx="28">
                  <c:v>95.898524211874445</c:v>
                </c:pt>
                <c:pt idx="29">
                  <c:v>95.281456470029752</c:v>
                </c:pt>
                <c:pt idx="30">
                  <c:v>94.638849471609319</c:v>
                </c:pt>
                <c:pt idx="31">
                  <c:v>93.974134603459248</c:v>
                </c:pt>
                <c:pt idx="32">
                  <c:v>93.289343915381622</c:v>
                </c:pt>
                <c:pt idx="33">
                  <c:v>92.587307451752196</c:v>
                </c:pt>
                <c:pt idx="34">
                  <c:v>91.869642203345578</c:v>
                </c:pt>
                <c:pt idx="35">
                  <c:v>91.138696249650636</c:v>
                </c:pt>
                <c:pt idx="36">
                  <c:v>90.396088988442074</c:v>
                </c:pt>
                <c:pt idx="37">
                  <c:v>89.642916394190522</c:v>
                </c:pt>
                <c:pt idx="38">
                  <c:v>88.881178919543913</c:v>
                </c:pt>
                <c:pt idx="39">
                  <c:v>88.111337955096459</c:v>
                </c:pt>
                <c:pt idx="40">
                  <c:v>87.334554641059526</c:v>
                </c:pt>
                <c:pt idx="41">
                  <c:v>86.551446837303914</c:v>
                </c:pt>
                <c:pt idx="42">
                  <c:v>85.762628783401155</c:v>
                </c:pt>
                <c:pt idx="43">
                  <c:v>84.968203296592009</c:v>
                </c:pt>
                <c:pt idx="44">
                  <c:v>84.168551673284909</c:v>
                </c:pt>
                <c:pt idx="45">
                  <c:v>83.363522092840512</c:v>
                </c:pt>
                <c:pt idx="46">
                  <c:v>82.553125840169997</c:v>
                </c:pt>
                <c:pt idx="47">
                  <c:v>81.736873501752925</c:v>
                </c:pt>
                <c:pt idx="48">
                  <c:v>80.914482331302381</c:v>
                </c:pt>
                <c:pt idx="49">
                  <c:v>80.0850814174389</c:v>
                </c:pt>
                <c:pt idx="50">
                  <c:v>79.247949821618647</c:v>
                </c:pt>
                <c:pt idx="51">
                  <c:v>78.401844111086263</c:v>
                </c:pt>
                <c:pt idx="52">
                  <c:v>77.54577770487613</c:v>
                </c:pt>
                <c:pt idx="53">
                  <c:v>76.678248357420728</c:v>
                </c:pt>
                <c:pt idx="54">
                  <c:v>75.79811685487725</c:v>
                </c:pt>
                <c:pt idx="55">
                  <c:v>74.901975673697081</c:v>
                </c:pt>
                <c:pt idx="56">
                  <c:v>73.988942729459126</c:v>
                </c:pt>
                <c:pt idx="57">
                  <c:v>73.056097350171825</c:v>
                </c:pt>
                <c:pt idx="58">
                  <c:v>72.101665122873456</c:v>
                </c:pt>
                <c:pt idx="59">
                  <c:v>71.122388432801031</c:v>
                </c:pt>
                <c:pt idx="60">
                  <c:v>70.116290264351832</c:v>
                </c:pt>
                <c:pt idx="61">
                  <c:v>69.080803475096701</c:v>
                </c:pt>
                <c:pt idx="62">
                  <c:v>68.013136397036064</c:v>
                </c:pt>
                <c:pt idx="63">
                  <c:v>66.91241893039971</c:v>
                </c:pt>
                <c:pt idx="64">
                  <c:v>65.776324630900945</c:v>
                </c:pt>
                <c:pt idx="65">
                  <c:v>64.604357420480881</c:v>
                </c:pt>
                <c:pt idx="66">
                  <c:v>63.396109318905431</c:v>
                </c:pt>
                <c:pt idx="67">
                  <c:v>62.152076357240219</c:v>
                </c:pt>
                <c:pt idx="68">
                  <c:v>60.872838393323043</c:v>
                </c:pt>
                <c:pt idx="69">
                  <c:v>59.560256016461324</c:v>
                </c:pt>
                <c:pt idx="70">
                  <c:v>58.216086121151925</c:v>
                </c:pt>
                <c:pt idx="71">
                  <c:v>56.843019858307272</c:v>
                </c:pt>
                <c:pt idx="72">
                  <c:v>55.443471846633344</c:v>
                </c:pt>
                <c:pt idx="73">
                  <c:v>54.020683889195588</c:v>
                </c:pt>
                <c:pt idx="74">
                  <c:v>52.57728430298264</c:v>
                </c:pt>
                <c:pt idx="75">
                  <c:v>51.116504938421031</c:v>
                </c:pt>
                <c:pt idx="76">
                  <c:v>49.640981779037944</c:v>
                </c:pt>
                <c:pt idx="77">
                  <c:v>48.154099956694161</c:v>
                </c:pt>
                <c:pt idx="78">
                  <c:v>46.65864571125109</c:v>
                </c:pt>
                <c:pt idx="79">
                  <c:v>45.158322270209432</c:v>
                </c:pt>
                <c:pt idx="80">
                  <c:v>43.65330045347298</c:v>
                </c:pt>
                <c:pt idx="81">
                  <c:v>42.148357257991634</c:v>
                </c:pt>
                <c:pt idx="82">
                  <c:v>40.64514510771555</c:v>
                </c:pt>
                <c:pt idx="83">
                  <c:v>39.147429988310869</c:v>
                </c:pt>
                <c:pt idx="84">
                  <c:v>37.656802509518101</c:v>
                </c:pt>
                <c:pt idx="85">
                  <c:v>36.176917401759844</c:v>
                </c:pt>
                <c:pt idx="86">
                  <c:v>34.71043446130065</c:v>
                </c:pt>
                <c:pt idx="87">
                  <c:v>33.259535511138878</c:v>
                </c:pt>
                <c:pt idx="88">
                  <c:v>31.828609867567014</c:v>
                </c:pt>
                <c:pt idx="89">
                  <c:v>30.419509886373337</c:v>
                </c:pt>
                <c:pt idx="90">
                  <c:v>29.035721585996171</c:v>
                </c:pt>
                <c:pt idx="91">
                  <c:v>27.679917642533432</c:v>
                </c:pt>
                <c:pt idx="92">
                  <c:v>26.354820942399158</c:v>
                </c:pt>
                <c:pt idx="93">
                  <c:v>25.062224787869809</c:v>
                </c:pt>
                <c:pt idx="94">
                  <c:v>24.744530154143259</c:v>
                </c:pt>
                <c:pt idx="95">
                  <c:v>24.58552036264317</c:v>
                </c:pt>
                <c:pt idx="96">
                  <c:v>24.428874384529315</c:v>
                </c:pt>
                <c:pt idx="97">
                  <c:v>24.270983968746577</c:v>
                </c:pt>
                <c:pt idx="98">
                  <c:v>24.115448787136529</c:v>
                </c:pt>
                <c:pt idx="99">
                  <c:v>23.958646968261132</c:v>
                </c:pt>
                <c:pt idx="100">
                  <c:v>23.804192296375032</c:v>
                </c:pt>
                <c:pt idx="101">
                  <c:v>23.648568812977505</c:v>
                </c:pt>
                <c:pt idx="102">
                  <c:v>23.495281262741514</c:v>
                </c:pt>
                <c:pt idx="103">
                  <c:v>23.340693157236117</c:v>
                </c:pt>
                <c:pt idx="104">
                  <c:v>23.188433549763921</c:v>
                </c:pt>
                <c:pt idx="105">
                  <c:v>23.034972913648915</c:v>
                </c:pt>
                <c:pt idx="106">
                  <c:v>22.883830084774193</c:v>
                </c:pt>
                <c:pt idx="107">
                  <c:v>22.731579645261192</c:v>
                </c:pt>
                <c:pt idx="108">
                  <c:v>22.58163328496963</c:v>
                </c:pt>
                <c:pt idx="109">
                  <c:v>22.430564786890031</c:v>
                </c:pt>
                <c:pt idx="110">
                  <c:v>22.281786899059703</c:v>
                </c:pt>
                <c:pt idx="111">
                  <c:v>22.131776906596915</c:v>
                </c:pt>
                <c:pt idx="112">
                  <c:v>21.98404717809985</c:v>
                </c:pt>
                <c:pt idx="113">
                  <c:v>21.835179528555614</c:v>
                </c:pt>
                <c:pt idx="114">
                  <c:v>21.688578657276096</c:v>
                </c:pt>
                <c:pt idx="115">
                  <c:v>21.54083491571205</c:v>
                </c:pt>
                <c:pt idx="116">
                  <c:v>21.395344384502661</c:v>
                </c:pt>
                <c:pt idx="117">
                  <c:v>21.248708667859468</c:v>
                </c:pt>
                <c:pt idx="118">
                  <c:v>21.104312420836784</c:v>
                </c:pt>
                <c:pt idx="119">
                  <c:v>20.958858565842604</c:v>
                </c:pt>
                <c:pt idx="120">
                  <c:v>20.815627526804761</c:v>
                </c:pt>
                <c:pt idx="121">
                  <c:v>20.671335739832237</c:v>
                </c:pt>
                <c:pt idx="122">
                  <c:v>20.529250023629189</c:v>
                </c:pt>
                <c:pt idx="123">
                  <c:v>20.386020246882918</c:v>
                </c:pt>
                <c:pt idx="124">
                  <c:v>20.244982140470711</c:v>
                </c:pt>
                <c:pt idx="125">
                  <c:v>20.10288563649685</c:v>
                </c:pt>
                <c:pt idx="126">
                  <c:v>19.962963540781349</c:v>
                </c:pt>
                <c:pt idx="127">
                  <c:v>19.821985522879679</c:v>
                </c:pt>
                <c:pt idx="128">
                  <c:v>19.683164393739261</c:v>
                </c:pt>
                <c:pt idx="129">
                  <c:v>19.543291305028635</c:v>
                </c:pt>
                <c:pt idx="130">
                  <c:v>19.405557290525579</c:v>
                </c:pt>
                <c:pt idx="131">
                  <c:v>19.266776583459059</c:v>
                </c:pt>
                <c:pt idx="132">
                  <c:v>19.198185182481843</c:v>
                </c:pt>
                <c:pt idx="133">
                  <c:v>19.13011681213694</c:v>
                </c:pt>
                <c:pt idx="134">
                  <c:v>19.060964812477767</c:v>
                </c:pt>
                <c:pt idx="135">
                  <c:v>18.99234620955416</c:v>
                </c:pt>
                <c:pt idx="136">
                  <c:v>18.924253722018129</c:v>
                </c:pt>
                <c:pt idx="137">
                  <c:v>18.856680201467768</c:v>
                </c:pt>
                <c:pt idx="138">
                  <c:v>18.788101965085193</c:v>
                </c:pt>
                <c:pt idx="139">
                  <c:v>18.720051818093356</c:v>
                </c:pt>
                <c:pt idx="140">
                  <c:v>18.652522526429504</c:v>
                </c:pt>
                <c:pt idx="141">
                  <c:v>18.585506988849481</c:v>
                </c:pt>
                <c:pt idx="142">
                  <c:v>18.517427178827589</c:v>
                </c:pt>
                <c:pt idx="143">
                  <c:v>18.449871130644297</c:v>
                </c:pt>
                <c:pt idx="144">
                  <c:v>18.382831639085161</c:v>
                </c:pt>
                <c:pt idx="145">
                  <c:v>18.316301632079842</c:v>
                </c:pt>
                <c:pt idx="146">
                  <c:v>18.248750600167622</c:v>
                </c:pt>
                <c:pt idx="147">
                  <c:v>18.181718365153177</c:v>
                </c:pt>
                <c:pt idx="148">
                  <c:v>18.115197765443167</c:v>
                </c:pt>
                <c:pt idx="149">
                  <c:v>18.049181772551929</c:v>
                </c:pt>
                <c:pt idx="150">
                  <c:v>17.982154447083108</c:v>
                </c:pt>
                <c:pt idx="151">
                  <c:v>17.915640861687034</c:v>
                </c:pt>
                <c:pt idx="152">
                  <c:v>17.849633902109293</c:v>
                </c:pt>
                <c:pt idx="153">
                  <c:v>17.78412658706992</c:v>
                </c:pt>
                <c:pt idx="154">
                  <c:v>17.717587473491886</c:v>
                </c:pt>
                <c:pt idx="155">
                  <c:v>17.651557418946876</c:v>
                </c:pt>
                <c:pt idx="156">
                  <c:v>17.586029350604775</c:v>
                </c:pt>
                <c:pt idx="157">
                  <c:v>17.52099632861658</c:v>
                </c:pt>
                <c:pt idx="158">
                  <c:v>17.454943189720602</c:v>
                </c:pt>
                <c:pt idx="159">
                  <c:v>17.389394300727094</c:v>
                </c:pt>
                <c:pt idx="160">
                  <c:v>17.324342634788557</c:v>
                </c:pt>
                <c:pt idx="161">
                  <c:v>17.259781297922004</c:v>
                </c:pt>
                <c:pt idx="162">
                  <c:v>17.1942403932985</c:v>
                </c:pt>
                <c:pt idx="163">
                  <c:v>17.129198373200904</c:v>
                </c:pt>
                <c:pt idx="164">
                  <c:v>17.064648270352677</c:v>
                </c:pt>
                <c:pt idx="165">
                  <c:v>17.000583249869113</c:v>
                </c:pt>
                <c:pt idx="166">
                  <c:v>16.93549371540778</c:v>
                </c:pt>
                <c:pt idx="167">
                  <c:v>16.870898470130477</c:v>
                </c:pt>
                <c:pt idx="168">
                  <c:v>16.806790592288628</c:v>
                </c:pt>
                <c:pt idx="169">
                  <c:v>16.743163292390715</c:v>
                </c:pt>
                <c:pt idx="170">
                  <c:v>16.67865983289682</c:v>
                </c:pt>
                <c:pt idx="171">
                  <c:v>16.614643886998056</c:v>
                </c:pt>
                <c:pt idx="172">
                  <c:v>16.551108626214496</c:v>
                </c:pt>
                <c:pt idx="173">
                  <c:v>16.488047352952989</c:v>
                </c:pt>
                <c:pt idx="174">
                  <c:v>16.42388148493303</c:v>
                </c:pt>
                <c:pt idx="175">
                  <c:v>16.36019995639365</c:v>
                </c:pt>
                <c:pt idx="176">
                  <c:v>16.296995958751832</c:v>
                </c:pt>
                <c:pt idx="177">
                  <c:v>16.234262814789766</c:v>
                </c:pt>
                <c:pt idx="178">
                  <c:v>16.170468568744177</c:v>
                </c:pt>
                <c:pt idx="179">
                  <c:v>16.107154835589458</c:v>
                </c:pt>
                <c:pt idx="180">
                  <c:v>16.044314842215492</c:v>
                </c:pt>
                <c:pt idx="181">
                  <c:v>15.981941946941978</c:v>
                </c:pt>
                <c:pt idx="182">
                  <c:v>15.918796044046331</c:v>
                </c:pt>
                <c:pt idx="183">
                  <c:v>15.856122556046319</c:v>
                </c:pt>
                <c:pt idx="184">
                  <c:v>15.793914837346975</c:v>
                </c:pt>
                <c:pt idx="185">
                  <c:v>15.732166371444931</c:v>
                </c:pt>
                <c:pt idx="186">
                  <c:v>15.66919446979181</c:v>
                </c:pt>
                <c:pt idx="187">
                  <c:v>15.606693839135559</c:v>
                </c:pt>
                <c:pt idx="188">
                  <c:v>15.544657817008083</c:v>
                </c:pt>
                <c:pt idx="189">
                  <c:v>15.483079871402017</c:v>
                </c:pt>
                <c:pt idx="190">
                  <c:v>15.420791416464477</c:v>
                </c:pt>
                <c:pt idx="191">
                  <c:v>15.35896539191441</c:v>
                </c:pt>
                <c:pt idx="192">
                  <c:v>15.297595282743517</c:v>
                </c:pt>
                <c:pt idx="193">
                  <c:v>15.236674701475053</c:v>
                </c:pt>
                <c:pt idx="194">
                  <c:v>15.174617744310391</c:v>
                </c:pt>
                <c:pt idx="195">
                  <c:v>15.113020963857789</c:v>
                </c:pt>
                <c:pt idx="196">
                  <c:v>15.051877855729517</c:v>
                </c:pt>
                <c:pt idx="197">
                  <c:v>14.991182043671373</c:v>
                </c:pt>
                <c:pt idx="198">
                  <c:v>14.929612717232759</c:v>
                </c:pt>
                <c:pt idx="199">
                  <c:v>14.868497423959344</c:v>
                </c:pt>
                <c:pt idx="200">
                  <c:v>14.807829754116069</c:v>
                </c:pt>
                <c:pt idx="201">
                  <c:v>14.747603424476317</c:v>
                </c:pt>
                <c:pt idx="202">
                  <c:v>14.686535754116317</c:v>
                </c:pt>
                <c:pt idx="203">
                  <c:v>14.625915680284912</c:v>
                </c:pt>
                <c:pt idx="204">
                  <c:v>14.565736896051407</c:v>
                </c:pt>
                <c:pt idx="205">
                  <c:v>14.505993219115688</c:v>
                </c:pt>
                <c:pt idx="206">
                  <c:v>14.445232160618449</c:v>
                </c:pt>
                <c:pt idx="207">
                  <c:v>14.384915020784765</c:v>
                </c:pt>
                <c:pt idx="208">
                  <c:v>14.325035539266844</c:v>
                </c:pt>
                <c:pt idx="209">
                  <c:v>14.26558757991161</c:v>
                </c:pt>
                <c:pt idx="210">
                  <c:v>14.204959504575909</c:v>
                </c:pt>
                <c:pt idx="211">
                  <c:v>14.144774098515548</c:v>
                </c:pt>
                <c:pt idx="212">
                  <c:v>14.085025098462989</c:v>
                </c:pt>
                <c:pt idx="213">
                  <c:v>14.025706366192022</c:v>
                </c:pt>
                <c:pt idx="214">
                  <c:v>13.965642181180177</c:v>
                </c:pt>
                <c:pt idx="215">
                  <c:v>13.906013074373407</c:v>
                </c:pt>
                <c:pt idx="216">
                  <c:v>13.846812915242575</c:v>
                </c:pt>
                <c:pt idx="217">
                  <c:v>13.788035695519365</c:v>
                </c:pt>
                <c:pt idx="218">
                  <c:v>13.728349655688888</c:v>
                </c:pt>
                <c:pt idx="219">
                  <c:v>13.669093726678041</c:v>
                </c:pt>
                <c:pt idx="220">
                  <c:v>13.610261857076464</c:v>
                </c:pt>
                <c:pt idx="221">
                  <c:v>13.551848116336927</c:v>
                </c:pt>
                <c:pt idx="222">
                  <c:v>13.492558320711618</c:v>
                </c:pt>
                <c:pt idx="223">
                  <c:v>13.433693344001423</c:v>
                </c:pt>
                <c:pt idx="224">
                  <c:v>13.375247222385454</c:v>
                </c:pt>
                <c:pt idx="225">
                  <c:v>13.317214111246901</c:v>
                </c:pt>
                <c:pt idx="226">
                  <c:v>13.258157277450426</c:v>
                </c:pt>
                <c:pt idx="227">
                  <c:v>13.199522235845411</c:v>
                </c:pt>
                <c:pt idx="228">
                  <c:v>13.14130306425329</c:v>
                </c:pt>
                <c:pt idx="229">
                  <c:v>13.083493959227528</c:v>
                </c:pt>
                <c:pt idx="230">
                  <c:v>12.966321059697687</c:v>
                </c:pt>
                <c:pt idx="231">
                  <c:v>12.90835618207616</c:v>
                </c:pt>
                <c:pt idx="232">
                  <c:v>12.850797978341495</c:v>
                </c:pt>
                <c:pt idx="233">
                  <c:v>12.792288793161852</c:v>
                </c:pt>
                <c:pt idx="234">
                  <c:v>12.73419398679243</c:v>
                </c:pt>
                <c:pt idx="235">
                  <c:v>12.676507753452096</c:v>
                </c:pt>
                <c:pt idx="236">
                  <c:v>12.619224404169579</c:v>
                </c:pt>
                <c:pt idx="237">
                  <c:v>12.561188228469051</c:v>
                </c:pt>
                <c:pt idx="238">
                  <c:v>12.503559845902057</c:v>
                </c:pt>
                <c:pt idx="239">
                  <c:v>12.446333571178055</c:v>
                </c:pt>
                <c:pt idx="240">
                  <c:v>12.389503833140637</c:v>
                </c:pt>
                <c:pt idx="241">
                  <c:v>12.331627217692221</c:v>
                </c:pt>
                <c:pt idx="242">
                  <c:v>12.274156162253551</c:v>
                </c:pt>
                <c:pt idx="243">
                  <c:v>12.217085012507294</c:v>
                </c:pt>
                <c:pt idx="244">
                  <c:v>12.160408227952699</c:v>
                </c:pt>
                <c:pt idx="245">
                  <c:v>12.102877367050347</c:v>
                </c:pt>
                <c:pt idx="246">
                  <c:v>12.045747189350397</c:v>
                </c:pt>
                <c:pt idx="247">
                  <c:v>11.98901212781835</c:v>
                </c:pt>
                <c:pt idx="248">
                  <c:v>11.93266672738295</c:v>
                </c:pt>
                <c:pt idx="249">
                  <c:v>11.875345494241632</c:v>
                </c:pt>
                <c:pt idx="250">
                  <c:v>11.818421921251041</c:v>
                </c:pt>
                <c:pt idx="251">
                  <c:v>11.761890491308844</c:v>
                </c:pt>
                <c:pt idx="252">
                  <c:v>11.705745798390696</c:v>
                </c:pt>
                <c:pt idx="253">
                  <c:v>11.648806453845868</c:v>
                </c:pt>
                <c:pt idx="254">
                  <c:v>11.592259337449139</c:v>
                </c:pt>
                <c:pt idx="255">
                  <c:v>11.53609903299545</c:v>
                </c:pt>
                <c:pt idx="256">
                  <c:v>11.480320233080541</c:v>
                </c:pt>
                <c:pt idx="257">
                  <c:v>11.423487393158915</c:v>
                </c:pt>
                <c:pt idx="258">
                  <c:v>11.367045103699354</c:v>
                </c:pt>
                <c:pt idx="259">
                  <c:v>11.310987972853106</c:v>
                </c:pt>
                <c:pt idx="260">
                  <c:v>11.255310717312209</c:v>
                </c:pt>
                <c:pt idx="261">
                  <c:v>11.198755597934868</c:v>
                </c:pt>
                <c:pt idx="262">
                  <c:v>11.142586974720947</c:v>
                </c:pt>
                <c:pt idx="263">
                  <c:v>11.086799530196833</c:v>
                </c:pt>
                <c:pt idx="264">
                  <c:v>11.031388053805829</c:v>
                </c:pt>
                <c:pt idx="265">
                  <c:v>10.975128488126318</c:v>
                </c:pt>
                <c:pt idx="266">
                  <c:v>10.919251105575405</c:v>
                </c:pt>
                <c:pt idx="267">
                  <c:v>10.86375066917698</c:v>
                </c:pt>
                <c:pt idx="268">
                  <c:v>10.808622047058893</c:v>
                </c:pt>
                <c:pt idx="269">
                  <c:v>10.752541955468613</c:v>
                </c:pt>
                <c:pt idx="270">
                  <c:v>10.696841287777833</c:v>
                </c:pt>
                <c:pt idx="271">
                  <c:v>10.641514856469978</c:v>
                </c:pt>
                <c:pt idx="272">
                  <c:v>10.586557578122926</c:v>
                </c:pt>
                <c:pt idx="273">
                  <c:v>10.530681253226955</c:v>
                </c:pt>
                <c:pt idx="274">
                  <c:v>10.475181244382128</c:v>
                </c:pt>
                <c:pt idx="275">
                  <c:v>10.420052421448215</c:v>
                </c:pt>
                <c:pt idx="276">
                  <c:v>10.365289757135116</c:v>
                </c:pt>
                <c:pt idx="277">
                  <c:v>10.309763972588478</c:v>
                </c:pt>
                <c:pt idx="278">
                  <c:v>10.254609422026277</c:v>
                </c:pt>
                <c:pt idx="279">
                  <c:v>10.19982107345075</c:v>
                </c:pt>
                <c:pt idx="280">
                  <c:v>10.145393995363731</c:v>
                </c:pt>
                <c:pt idx="281">
                  <c:v>10.089863600291453</c:v>
                </c:pt>
                <c:pt idx="282">
                  <c:v>10.034704082036498</c:v>
                </c:pt>
                <c:pt idx="283">
                  <c:v>9.9799104115324013</c:v>
                </c:pt>
                <c:pt idx="284">
                  <c:v>9.9254776603711967</c:v>
                </c:pt>
                <c:pt idx="285">
                  <c:v>9.8703349090393839</c:v>
                </c:pt>
                <c:pt idx="286">
                  <c:v>9.8155574529387692</c:v>
                </c:pt>
                <c:pt idx="287">
                  <c:v>9.7611403722251726</c:v>
                </c:pt>
                <c:pt idx="288">
                  <c:v>9.7070788450298338</c:v>
                </c:pt>
                <c:pt idx="289">
                  <c:v>9.6519836872692242</c:v>
                </c:pt>
                <c:pt idx="290">
                  <c:v>9.5972527368530951</c:v>
                </c:pt>
                <c:pt idx="291">
                  <c:v>9.542881093011486</c:v>
                </c:pt>
                <c:pt idx="292">
                  <c:v>9.4888639526381304</c:v>
                </c:pt>
                <c:pt idx="293">
                  <c:v>9.4339604941902717</c:v>
                </c:pt>
                <c:pt idx="294">
                  <c:v>9.3794182438317311</c:v>
                </c:pt>
                <c:pt idx="295">
                  <c:v>9.3252323588407844</c:v>
                </c:pt>
                <c:pt idx="296">
                  <c:v>9.2713980927979485</c:v>
                </c:pt>
                <c:pt idx="297">
                  <c:v>9.2167066323965621</c:v>
                </c:pt>
                <c:pt idx="298">
                  <c:v>9.1623731134894832</c:v>
                </c:pt>
                <c:pt idx="299">
                  <c:v>9.1083927571221359</c:v>
                </c:pt>
                <c:pt idx="300">
                  <c:v>9.0547608791141201</c:v>
                </c:pt>
                <c:pt idx="301">
                  <c:v>9.0002996910311914</c:v>
                </c:pt>
                <c:pt idx="302">
                  <c:v>8.9461929435062508</c:v>
                </c:pt>
                <c:pt idx="303">
                  <c:v>8.892435926284378</c:v>
                </c:pt>
                <c:pt idx="304">
                  <c:v>8.8390240222135219</c:v>
                </c:pt>
                <c:pt idx="305">
                  <c:v>8.7846016697859639</c:v>
                </c:pt>
                <c:pt idx="306">
                  <c:v>8.7305327382602229</c:v>
                </c:pt>
                <c:pt idx="307">
                  <c:v>8.6768125371040341</c:v>
                </c:pt>
                <c:pt idx="308">
                  <c:v>8.6234364684896789</c:v>
                </c:pt>
                <c:pt idx="309">
                  <c:v>8.5692860203338999</c:v>
                </c:pt>
                <c:pt idx="310">
                  <c:v>8.5154849581276473</c:v>
                </c:pt>
                <c:pt idx="311">
                  <c:v>8.4620286710999206</c:v>
                </c:pt>
                <c:pt idx="312">
                  <c:v>8.4089126391979772</c:v>
                </c:pt>
                <c:pt idx="313">
                  <c:v>8.3548492670771992</c:v>
                </c:pt>
                <c:pt idx="314">
                  <c:v>8.3011336299316394</c:v>
                </c:pt>
                <c:pt idx="315">
                  <c:v>8.2477611498534564</c:v>
                </c:pt>
                <c:pt idx="316">
                  <c:v>8.1947273388832507</c:v>
                </c:pt>
                <c:pt idx="317">
                  <c:v>8.1407770841743901</c:v>
                </c:pt>
                <c:pt idx="318">
                  <c:v>8.0871725761568634</c:v>
                </c:pt>
                <c:pt idx="319">
                  <c:v>8.0339092766886289</c:v>
                </c:pt>
                <c:pt idx="320">
                  <c:v>7.9809827366142425</c:v>
                </c:pt>
                <c:pt idx="321">
                  <c:v>7.9271693943364419</c:v>
                </c:pt>
                <c:pt idx="322">
                  <c:v>7.8736995069993485</c:v>
                </c:pt>
                <c:pt idx="323">
                  <c:v>7.820568582364972</c:v>
                </c:pt>
                <c:pt idx="324">
                  <c:v>7.7677722160498686</c:v>
                </c:pt>
                <c:pt idx="325">
                  <c:v>7.7141174819554612</c:v>
                </c:pt>
                <c:pt idx="326">
                  <c:v>7.6608036393960797</c:v>
                </c:pt>
                <c:pt idx="327">
                  <c:v>7.6078262474506122</c:v>
                </c:pt>
                <c:pt idx="328">
                  <c:v>7.555180951771451</c:v>
                </c:pt>
                <c:pt idx="329">
                  <c:v>7.5016154221615157</c:v>
                </c:pt>
                <c:pt idx="330">
                  <c:v>7.4483891030567637</c:v>
                </c:pt>
                <c:pt idx="331">
                  <c:v>7.3954975877647637</c:v>
                </c:pt>
                <c:pt idx="332">
                  <c:v>7.3429365553202706</c:v>
                </c:pt>
                <c:pt idx="333">
                  <c:v>7.2895717110199509</c:v>
                </c:pt>
                <c:pt idx="334">
                  <c:v>7.2365429953704119</c:v>
                </c:pt>
                <c:pt idx="335">
                  <c:v>7.1838460631310994</c:v>
                </c:pt>
                <c:pt idx="336">
                  <c:v>7.1314766532325482</c:v>
                </c:pt>
                <c:pt idx="337">
                  <c:v>7.0781589725024237</c:v>
                </c:pt>
                <c:pt idx="338">
                  <c:v>7.0251762728604836</c:v>
                </c:pt>
                <c:pt idx="339">
                  <c:v>6.9725242331362249</c:v>
                </c:pt>
                <c:pt idx="340">
                  <c:v>6.92019861573102</c:v>
                </c:pt>
                <c:pt idx="341">
                  <c:v>6.8669550784041373</c:v>
                </c:pt>
                <c:pt idx="342">
                  <c:v>6.8140450359870783</c:v>
                </c:pt>
                <c:pt idx="343">
                  <c:v>6.7614641980028001</c:v>
                </c:pt>
                <c:pt idx="344">
                  <c:v>6.7092083567695626</c:v>
                </c:pt>
                <c:pt idx="345">
                  <c:v>6.6561443913005736</c:v>
                </c:pt>
                <c:pt idx="346">
                  <c:v>6.603411124645346</c:v>
                </c:pt>
                <c:pt idx="347">
                  <c:v>6.5510043221703018</c:v>
                </c:pt>
                <c:pt idx="348">
                  <c:v>6.498919830611678</c:v>
                </c:pt>
                <c:pt idx="349">
                  <c:v>6.4458949261753009</c:v>
                </c:pt>
                <c:pt idx="350">
                  <c:v>6.3931996767742323</c:v>
                </c:pt>
                <c:pt idx="351">
                  <c:v>6.340829870012767</c:v>
                </c:pt>
                <c:pt idx="352">
                  <c:v>6.2887813742942056</c:v>
                </c:pt>
                <c:pt idx="353">
                  <c:v>6.2358222745991512</c:v>
                </c:pt>
                <c:pt idx="354">
                  <c:v>6.1831914548348141</c:v>
                </c:pt>
                <c:pt idx="355">
                  <c:v>6.1308847311950023</c:v>
                </c:pt>
                <c:pt idx="356">
                  <c:v>6.0788979999347479</c:v>
                </c:pt>
                <c:pt idx="357">
                  <c:v>6.0261041822175434</c:v>
                </c:pt>
                <c:pt idx="358">
                  <c:v>5.9736360464585969</c:v>
                </c:pt>
                <c:pt idx="359">
                  <c:v>5.9214894606418609</c:v>
                </c:pt>
                <c:pt idx="360">
                  <c:v>5.8696603714826221</c:v>
                </c:pt>
                <c:pt idx="361">
                  <c:v>5.8169028986894453</c:v>
                </c:pt>
                <c:pt idx="362">
                  <c:v>5.7644701020558902</c:v>
                </c:pt>
                <c:pt idx="363">
                  <c:v>5.7123578710433867</c:v>
                </c:pt>
                <c:pt idx="364">
                  <c:v>5.6605621732806952</c:v>
                </c:pt>
                <c:pt idx="365">
                  <c:v>5.6079385036408027</c:v>
                </c:pt>
                <c:pt idx="366">
                  <c:v>5.5556373124075282</c:v>
                </c:pt>
                <c:pt idx="367">
                  <c:v>5.5036545329895166</c:v>
                </c:pt>
                <c:pt idx="368">
                  <c:v>5.4519861758289823</c:v>
                </c:pt>
                <c:pt idx="369">
                  <c:v>5.3993761493116343</c:v>
                </c:pt>
                <c:pt idx="370">
                  <c:v>5.347087875414811</c:v>
                </c:pt>
                <c:pt idx="371">
                  <c:v>5.2951173036355828</c:v>
                </c:pt>
                <c:pt idx="372">
                  <c:v>5.2434604600707058</c:v>
                </c:pt>
                <c:pt idx="373">
                  <c:v>5.1909592958224371</c:v>
                </c:pt>
                <c:pt idx="374">
                  <c:v>5.1387779991490188</c:v>
                </c:pt>
                <c:pt idx="375">
                  <c:v>5.0869125573613703</c:v>
                </c:pt>
                <c:pt idx="376">
                  <c:v>5.035359033388592</c:v>
                </c:pt>
                <c:pt idx="377">
                  <c:v>4.9828545621887876</c:v>
                </c:pt>
                <c:pt idx="378">
                  <c:v>4.9306694380140428</c:v>
                </c:pt>
                <c:pt idx="379">
                  <c:v>4.8787996602872292</c:v>
                </c:pt>
                <c:pt idx="380">
                  <c:v>4.8272413037105091</c:v>
                </c:pt>
                <c:pt idx="381">
                  <c:v>4.7748910037117485</c:v>
                </c:pt>
                <c:pt idx="382">
                  <c:v>4.7228576239365703</c:v>
                </c:pt>
                <c:pt idx="383">
                  <c:v>4.6711372114688157</c:v>
                </c:pt>
                <c:pt idx="384">
                  <c:v>4.6197258874439502</c:v>
                </c:pt>
                <c:pt idx="385">
                  <c:v>4.5673571211275812</c:v>
                </c:pt>
                <c:pt idx="386">
                  <c:v>4.5153049360337603</c:v>
                </c:pt>
                <c:pt idx="387">
                  <c:v>4.4635653877987771</c:v>
                </c:pt>
                <c:pt idx="388">
                  <c:v>4.4121346058573314</c:v>
                </c:pt>
                <c:pt idx="389">
                  <c:v>4.3598377501759629</c:v>
                </c:pt>
                <c:pt idx="390">
                  <c:v>4.3078560459470907</c:v>
                </c:pt>
                <c:pt idx="391">
                  <c:v>4.2561855775707125</c:v>
                </c:pt>
                <c:pt idx="392">
                  <c:v>4.2048225024887014</c:v>
                </c:pt>
                <c:pt idx="393">
                  <c:v>4.152619781317803</c:v>
                </c:pt>
                <c:pt idx="394">
                  <c:v>4.1007305172804989</c:v>
                </c:pt>
                <c:pt idx="395">
                  <c:v>4.0491508282785507</c:v>
                </c:pt>
                <c:pt idx="396">
                  <c:v>3.9978769043827773</c:v>
                </c:pt>
                <c:pt idx="397">
                  <c:v>3.9456712622689984</c:v>
                </c:pt>
                <c:pt idx="398">
                  <c:v>3.8937785449123434</c:v>
                </c:pt>
                <c:pt idx="399">
                  <c:v>3.8421948820473406</c:v>
                </c:pt>
                <c:pt idx="400">
                  <c:v>3.790916475240766</c:v>
                </c:pt>
                <c:pt idx="401">
                  <c:v>3.7387923279571584</c:v>
                </c:pt>
                <c:pt idx="402">
                  <c:v>3.6869795625197259</c:v>
                </c:pt>
                <c:pt idx="403">
                  <c:v>3.6354743390371307</c:v>
                </c:pt>
                <c:pt idx="404">
                  <c:v>3.5842728886567232</c:v>
                </c:pt>
                <c:pt idx="405">
                  <c:v>3.5321952076806324</c:v>
                </c:pt>
                <c:pt idx="406">
                  <c:v>3.4804277828117778</c:v>
                </c:pt>
                <c:pt idx="407">
                  <c:v>3.4289667966640418</c:v>
                </c:pt>
                <c:pt idx="408">
                  <c:v>3.3778085022915088</c:v>
                </c:pt>
                <c:pt idx="409">
                  <c:v>3.3257458077280471</c:v>
                </c:pt>
                <c:pt idx="410">
                  <c:v>3.2739926144145501</c:v>
                </c:pt>
                <c:pt idx="411">
                  <c:v>3.2225451204989271</c:v>
                </c:pt>
                <c:pt idx="412">
                  <c:v>3.1713995941426329</c:v>
                </c:pt>
                <c:pt idx="413">
                  <c:v>3.1193771253291001</c:v>
                </c:pt>
                <c:pt idx="414">
                  <c:v>3.0676630997515151</c:v>
                </c:pt>
                <c:pt idx="415">
                  <c:v>3.0162537365111919</c:v>
                </c:pt>
                <c:pt idx="416">
                  <c:v>2.965145324164717</c:v>
                </c:pt>
                <c:pt idx="417">
                  <c:v>2.9131342355660057</c:v>
                </c:pt>
                <c:pt idx="418">
                  <c:v>2.8614308687791135</c:v>
                </c:pt>
                <c:pt idx="419">
                  <c:v>2.8100314575359171</c:v>
                </c:pt>
                <c:pt idx="420">
                  <c:v>2.7589323046209273</c:v>
                </c:pt>
                <c:pt idx="421">
                  <c:v>2.7070087062004773</c:v>
                </c:pt>
                <c:pt idx="422">
                  <c:v>2.6553912069584742</c:v>
                </c:pt>
                <c:pt idx="423">
                  <c:v>2.6040760715694939</c:v>
                </c:pt>
                <c:pt idx="424">
                  <c:v>2.553059632962734</c:v>
                </c:pt>
                <c:pt idx="425">
                  <c:v>2.5010939158725747</c:v>
                </c:pt>
                <c:pt idx="426">
                  <c:v>2.4494341943709581</c:v>
                </c:pt>
                <c:pt idx="427">
                  <c:v>2.3980767361808715</c:v>
                </c:pt>
                <c:pt idx="428">
                  <c:v>2.3470178771614663</c:v>
                </c:pt>
                <c:pt idx="429">
                  <c:v>2.2950871221229328</c:v>
                </c:pt>
                <c:pt idx="430">
                  <c:v>2.2434613459952666</c:v>
                </c:pt>
                <c:pt idx="431">
                  <c:v>2.1921368360567834</c:v>
                </c:pt>
                <c:pt idx="432">
                  <c:v>2.141109947204308</c:v>
                </c:pt>
                <c:pt idx="433">
                  <c:v>2.0892371852775313</c:v>
                </c:pt>
                <c:pt idx="434">
                  <c:v>2.0376681104865715</c:v>
                </c:pt>
                <c:pt idx="435">
                  <c:v>1.986399034492434</c:v>
                </c:pt>
                <c:pt idx="436">
                  <c:v>1.9354263359426489</c:v>
                </c:pt>
                <c:pt idx="437">
                  <c:v>1.88354002107407</c:v>
                </c:pt>
                <c:pt idx="438">
                  <c:v>1.8319569295870184</c:v>
                </c:pt>
                <c:pt idx="439">
                  <c:v>1.7806733823197372</c:v>
                </c:pt>
                <c:pt idx="440">
                  <c:v>1.7296857668343348</c:v>
                </c:pt>
                <c:pt idx="441">
                  <c:v>1.6778118651574041</c:v>
                </c:pt>
                <c:pt idx="442">
                  <c:v>1.6262404106031818</c:v>
                </c:pt>
                <c:pt idx="443">
                  <c:v>1.5749677387091028</c:v>
                </c:pt>
                <c:pt idx="444">
                  <c:v>1.5239902513424706</c:v>
                </c:pt>
                <c:pt idx="445">
                  <c:v>1.4721528067483283</c:v>
                </c:pt>
                <c:pt idx="446">
                  <c:v>1.4206167445458515</c:v>
                </c:pt>
                <c:pt idx="447">
                  <c:v>1.3693784200346195</c:v>
                </c:pt>
                <c:pt idx="448">
                  <c:v>1.3184342543307446</c:v>
                </c:pt>
                <c:pt idx="449">
                  <c:v>1.2665689371617925</c:v>
                </c:pt>
                <c:pt idx="450">
                  <c:v>1.2150046730175466</c:v>
                </c:pt>
                <c:pt idx="451">
                  <c:v>1.1637378235061793</c:v>
                </c:pt>
                <c:pt idx="452">
                  <c:v>1.1127648158643335</c:v>
                </c:pt>
                <c:pt idx="453">
                  <c:v>1.0609403368851553</c:v>
                </c:pt>
                <c:pt idx="454">
                  <c:v>1.0094157748191819</c:v>
                </c:pt>
                <c:pt idx="455">
                  <c:v>0.95818751200886587</c:v>
                </c:pt>
                <c:pt idx="456">
                  <c:v>0.90725199589361938</c:v>
                </c:pt>
                <c:pt idx="457">
                  <c:v>0.85540730685298993</c:v>
                </c:pt>
                <c:pt idx="458">
                  <c:v>0.80386209168517997</c:v>
                </c:pt>
                <c:pt idx="459">
                  <c:v>0.75261274081016594</c:v>
                </c:pt>
                <c:pt idx="460">
                  <c:v>0.70165570951877754</c:v>
                </c:pt>
                <c:pt idx="461">
                  <c:v>0.64981635197401844</c:v>
                </c:pt>
                <c:pt idx="462">
                  <c:v>0.598275717270629</c:v>
                </c:pt>
                <c:pt idx="463">
                  <c:v>0.54703020931690727</c:v>
                </c:pt>
                <c:pt idx="464">
                  <c:v>0.49607629653906204</c:v>
                </c:pt>
                <c:pt idx="465">
                  <c:v>0.44422645891457768</c:v>
                </c:pt>
                <c:pt idx="466">
                  <c:v>0.39267476074537627</c:v>
                </c:pt>
                <c:pt idx="467">
                  <c:v>0.34141761627009665</c:v>
                </c:pt>
                <c:pt idx="468">
                  <c:v>0.29045150397025749</c:v>
                </c:pt>
                <c:pt idx="469">
                  <c:v>0.23861572909374879</c:v>
                </c:pt>
                <c:pt idx="470">
                  <c:v>0.18707721428841773</c:v>
                </c:pt>
                <c:pt idx="471">
                  <c:v>0.13583238930830857</c:v>
                </c:pt>
                <c:pt idx="472">
                  <c:v>8.4877747754642685E-2</c:v>
                </c:pt>
                <c:pt idx="473">
                  <c:v>3.3003343292944715E-2</c:v>
                </c:pt>
                <c:pt idx="474">
                  <c:v>-1.8574093690309941E-2</c:v>
                </c:pt>
                <c:pt idx="475">
                  <c:v>-6.9858128596638924E-2</c:v>
                </c:pt>
                <c:pt idx="476">
                  <c:v>-0.12085226311963958</c:v>
                </c:pt>
                <c:pt idx="477">
                  <c:v>-0.1727392317694631</c:v>
                </c:pt>
                <c:pt idx="478">
                  <c:v>-0.22432984085486096</c:v>
                </c:pt>
                <c:pt idx="479">
                  <c:v>-0.27562764539229112</c:v>
                </c:pt>
                <c:pt idx="480">
                  <c:v>-0.32663613695849592</c:v>
                </c:pt>
                <c:pt idx="481">
                  <c:v>-0.37851151044741405</c:v>
                </c:pt>
                <c:pt idx="482">
                  <c:v>-0.43009142424645741</c:v>
                </c:pt>
                <c:pt idx="483">
                  <c:v>-0.48137941787367922</c:v>
                </c:pt>
                <c:pt idx="484">
                  <c:v>-0.53237896779381944</c:v>
                </c:pt>
                <c:pt idx="485">
                  <c:v>-0.58425561042535978</c:v>
                </c:pt>
                <c:pt idx="486">
                  <c:v>-0.6358375639877013</c:v>
                </c:pt>
                <c:pt idx="487">
                  <c:v>-0.68712835493643587</c:v>
                </c:pt>
                <c:pt idx="488">
                  <c:v>-0.73813144699919864</c:v>
                </c:pt>
                <c:pt idx="489">
                  <c:v>-0.79005521522461042</c:v>
                </c:pt>
                <c:pt idx="490">
                  <c:v>-0.84168456486116205</c:v>
                </c:pt>
                <c:pt idx="491">
                  <c:v>-0.89302301835728537</c:v>
                </c:pt>
                <c:pt idx="492">
                  <c:v>-0.94407403554161307</c:v>
                </c:pt>
                <c:pt idx="493">
                  <c:v>-0.99601907258223377</c:v>
                </c:pt>
                <c:pt idx="494">
                  <c:v>-1.047670274923088</c:v>
                </c:pt>
                <c:pt idx="495">
                  <c:v>-1.099031155491891</c:v>
                </c:pt>
                <c:pt idx="496">
                  <c:v>-1.1501051648318932</c:v>
                </c:pt>
                <c:pt idx="497">
                  <c:v>-1.2020804089609116</c:v>
                </c:pt>
                <c:pt idx="498">
                  <c:v>-1.2537623224510075</c:v>
                </c:pt>
                <c:pt idx="499">
                  <c:v>-1.3051544102234256</c:v>
                </c:pt>
                <c:pt idx="500">
                  <c:v>-1.3562601150112354</c:v>
                </c:pt>
                <c:pt idx="501">
                  <c:v>-1.4082733738374946</c:v>
                </c:pt>
                <c:pt idx="502">
                  <c:v>-1.4599937403982635</c:v>
                </c:pt>
                <c:pt idx="503">
                  <c:v>-1.5114247128581673</c:v>
                </c:pt>
                <c:pt idx="504">
                  <c:v>-1.562569727357094</c:v>
                </c:pt>
                <c:pt idx="505">
                  <c:v>-1.6145963063200921</c:v>
                </c:pt>
                <c:pt idx="506">
                  <c:v>-1.6663307309962141</c:v>
                </c:pt>
                <c:pt idx="507">
                  <c:v>-1.7177764875105024</c:v>
                </c:pt>
                <c:pt idx="508">
                  <c:v>-1.7689370002476323</c:v>
                </c:pt>
                <c:pt idx="509">
                  <c:v>-1.8209847979059095</c:v>
                </c:pt>
                <c:pt idx="510">
                  <c:v>-1.8727411128329319</c:v>
                </c:pt>
                <c:pt idx="511">
                  <c:v>-1.9242094203586539</c:v>
                </c:pt>
                <c:pt idx="512">
                  <c:v>-1.9753931343239508</c:v>
                </c:pt>
                <c:pt idx="513">
                  <c:v>-2.0274991571342009</c:v>
                </c:pt>
                <c:pt idx="514">
                  <c:v>-2.0793139794254056</c:v>
                </c:pt>
                <c:pt idx="515">
                  <c:v>-2.1308410727175295</c:v>
                </c:pt>
                <c:pt idx="516">
                  <c:v>-2.1820838471247002</c:v>
                </c:pt>
                <c:pt idx="517">
                  <c:v>-2.2342227045109935</c:v>
                </c:pt>
                <c:pt idx="518">
                  <c:v>-2.2860709517629143</c:v>
                </c:pt>
                <c:pt idx="519">
                  <c:v>-2.3376320511243716</c:v>
                </c:pt>
                <c:pt idx="520">
                  <c:v>-2.3889094036413012</c:v>
                </c:pt>
                <c:pt idx="521">
                  <c:v>-2.4410863391440003</c:v>
                </c:pt>
                <c:pt idx="522">
                  <c:v>-2.4929732213361997</c:v>
                </c:pt>
                <c:pt idx="523">
                  <c:v>-2.5445735037984707</c:v>
                </c:pt>
                <c:pt idx="524">
                  <c:v>-2.5958905791028615</c:v>
                </c:pt>
                <c:pt idx="525">
                  <c:v>-2.6481100790308485</c:v>
                </c:pt>
                <c:pt idx="526">
                  <c:v>-2.7000400581596535</c:v>
                </c:pt>
                <c:pt idx="527">
                  <c:v>-2.7516839618376006</c:v>
                </c:pt>
                <c:pt idx="528">
                  <c:v>-2.8030451745796063</c:v>
                </c:pt>
                <c:pt idx="529">
                  <c:v>-2.8553110334451515</c:v>
                </c:pt>
                <c:pt idx="530">
                  <c:v>-2.9072878880786108</c:v>
                </c:pt>
                <c:pt idx="531">
                  <c:v>-2.9589791758601947</c:v>
                </c:pt>
                <c:pt idx="532">
                  <c:v>-3.010388273501325</c:v>
                </c:pt>
                <c:pt idx="533">
                  <c:v>-3.0627305888940448</c:v>
                </c:pt>
                <c:pt idx="534">
                  <c:v>-3.1147841120413435</c:v>
                </c:pt>
                <c:pt idx="535">
                  <c:v>-3.1665522777332726</c:v>
                </c:pt>
                <c:pt idx="536">
                  <c:v>-3.2180384601251255</c:v>
                </c:pt>
                <c:pt idx="537">
                  <c:v>-3.2704053706111651</c:v>
                </c:pt>
                <c:pt idx="538">
                  <c:v>-3.3224842984951235</c:v>
                </c:pt>
                <c:pt idx="539">
                  <c:v>-3.3742786652901069</c:v>
                </c:pt>
                <c:pt idx="540">
                  <c:v>-3.4257918321545757</c:v>
                </c:pt>
                <c:pt idx="541">
                  <c:v>-3.478238718384028</c:v>
                </c:pt>
                <c:pt idx="542">
                  <c:v>-3.5303978508093592</c:v>
                </c:pt>
                <c:pt idx="543">
                  <c:v>-3.5822726479092633</c:v>
                </c:pt>
                <c:pt idx="544">
                  <c:v>-3.6338664678429349</c:v>
                </c:pt>
                <c:pt idx="545">
                  <c:v>-3.6863680385732751</c:v>
                </c:pt>
                <c:pt idx="546">
                  <c:v>-3.7385823893349817</c:v>
                </c:pt>
                <c:pt idx="547">
                  <c:v>-3.7905129300474405</c:v>
                </c:pt>
                <c:pt idx="548">
                  <c:v>-3.8421630104704017</c:v>
                </c:pt>
                <c:pt idx="549">
                  <c:v>-3.8947204821208299</c:v>
                </c:pt>
                <c:pt idx="550">
                  <c:v>-3.946991281408065</c:v>
                </c:pt>
                <c:pt idx="551">
                  <c:v>-3.9989788093191581</c:v>
                </c:pt>
                <c:pt idx="552">
                  <c:v>-4.0506864068451671</c:v>
                </c:pt>
                <c:pt idx="553">
                  <c:v>-4.1033247595588884</c:v>
                </c:pt>
                <c:pt idx="554">
                  <c:v>-4.1556767434643511</c:v>
                </c:pt>
                <c:pt idx="555">
                  <c:v>-4.2077457547892072</c:v>
                </c:pt>
                <c:pt idx="556">
                  <c:v>-4.2595351298257107</c:v>
                </c:pt>
                <c:pt idx="557">
                  <c:v>-4.3646854488139057</c:v>
                </c:pt>
                <c:pt idx="558">
                  <c:v>-4.4687051692874</c:v>
                </c:pt>
                <c:pt idx="559">
                  <c:v>-4.5739669271824344</c:v>
                </c:pt>
                <c:pt idx="560">
                  <c:v>-4.6781005820020125</c:v>
                </c:pt>
                <c:pt idx="561">
                  <c:v>-4.7835638093325921</c:v>
                </c:pt>
                <c:pt idx="562">
                  <c:v>-4.8878996156523238</c:v>
                </c:pt>
                <c:pt idx="563">
                  <c:v>-4.9933377623899915</c:v>
                </c:pt>
                <c:pt idx="564">
                  <c:v>-5.09765407563129</c:v>
                </c:pt>
                <c:pt idx="565">
                  <c:v>-5.2034629229943921</c:v>
                </c:pt>
                <c:pt idx="566">
                  <c:v>-5.308147241421044</c:v>
                </c:pt>
                <c:pt idx="567">
                  <c:v>-5.4142668014627002</c:v>
                </c:pt>
                <c:pt idx="568">
                  <c:v>-5.5192605267421522</c:v>
                </c:pt>
                <c:pt idx="569">
                  <c:v>-5.6252214890388625</c:v>
                </c:pt>
                <c:pt idx="570">
                  <c:v>-5.7300652781301533</c:v>
                </c:pt>
                <c:pt idx="571">
                  <c:v>-5.8366507714799232</c:v>
                </c:pt>
                <c:pt idx="572">
                  <c:v>-5.9421113937308263</c:v>
                </c:pt>
                <c:pt idx="573">
                  <c:v>-6.0484544356467289</c:v>
                </c:pt>
                <c:pt idx="574">
                  <c:v>-6.153683157844851</c:v>
                </c:pt>
                <c:pt idx="575">
                  <c:v>-6.2605391955462943</c:v>
                </c:pt>
                <c:pt idx="576">
                  <c:v>-6.3662757528369518</c:v>
                </c:pt>
                <c:pt idx="577">
                  <c:v>-6.8020981228354298</c:v>
                </c:pt>
                <c:pt idx="578">
                  <c:v>-7.2200988729681592</c:v>
                </c:pt>
                <c:pt idx="579">
                  <c:v>-8.0811076740879528</c:v>
                </c:pt>
                <c:pt idx="580">
                  <c:v>-8.9516371746637233</c:v>
                </c:pt>
                <c:pt idx="581">
                  <c:v>-9.8312621851482511</c:v>
                </c:pt>
                <c:pt idx="582">
                  <c:v>-10.721207810517461</c:v>
                </c:pt>
                <c:pt idx="583">
                  <c:v>-11.621244510474863</c:v>
                </c:pt>
                <c:pt idx="584">
                  <c:v>-12.532180572211551</c:v>
                </c:pt>
                <c:pt idx="585">
                  <c:v>-13.453274427312143</c:v>
                </c:pt>
                <c:pt idx="586">
                  <c:v>-14.384062074425458</c:v>
                </c:pt>
                <c:pt idx="587">
                  <c:v>-15.324110919058679</c:v>
                </c:pt>
                <c:pt idx="588">
                  <c:v>-16.271361573668781</c:v>
                </c:pt>
                <c:pt idx="589">
                  <c:v>-17.225413627321021</c:v>
                </c:pt>
                <c:pt idx="590">
                  <c:v>-18.185124888761656</c:v>
                </c:pt>
                <c:pt idx="591">
                  <c:v>-19.150729665739348</c:v>
                </c:pt>
                <c:pt idx="592">
                  <c:v>-20.123958256958588</c:v>
                </c:pt>
                <c:pt idx="593">
                  <c:v>-21.109693983347885</c:v>
                </c:pt>
                <c:pt idx="594">
                  <c:v>-22.116251482381109</c:v>
                </c:pt>
                <c:pt idx="595">
                  <c:v>-23.157742168624939</c:v>
                </c:pt>
                <c:pt idx="596">
                  <c:v>-24.254295818175944</c:v>
                </c:pt>
                <c:pt idx="597">
                  <c:v>-25.433062597405865</c:v>
                </c:pt>
                <c:pt idx="598">
                  <c:v>-26.725330358008087</c:v>
                </c:pt>
                <c:pt idx="599">
                  <c:v>-28.16286708800137</c:v>
                </c:pt>
                <c:pt idx="600">
                  <c:v>-29.769463128980487</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-7.700587620840972</c:v>
                </c:pt>
                <c:pt idx="1">
                  <c:v>-8.4339859800191643</c:v>
                </c:pt>
                <c:pt idx="2">
                  <c:v>-9.2350332707438909</c:v>
                </c:pt>
                <c:pt idx="3">
                  <c:v>-10.109346880205315</c:v>
                </c:pt>
                <c:pt idx="4">
                  <c:v>-11.062159781828431</c:v>
                </c:pt>
                <c:pt idx="5">
                  <c:v>-12.101197435972733</c:v>
                </c:pt>
                <c:pt idx="6">
                  <c:v>-13.231295501888512</c:v>
                </c:pt>
                <c:pt idx="7">
                  <c:v>-14.459445352940349</c:v>
                </c:pt>
                <c:pt idx="8">
                  <c:v>-15.790870636849895</c:v>
                </c:pt>
                <c:pt idx="9">
                  <c:v>-17.23240669767414</c:v>
                </c:pt>
                <c:pt idx="10">
                  <c:v>-18.788551921329603</c:v>
                </c:pt>
                <c:pt idx="11">
                  <c:v>-20.46397339376302</c:v>
                </c:pt>
                <c:pt idx="12">
                  <c:v>-22.262989617149877</c:v>
                </c:pt>
                <c:pt idx="13">
                  <c:v>-24.185723955979157</c:v>
                </c:pt>
                <c:pt idx="14">
                  <c:v>-26.233639773850619</c:v>
                </c:pt>
                <c:pt idx="15">
                  <c:v>-28.403671125851556</c:v>
                </c:pt>
                <c:pt idx="16">
                  <c:v>-30.691019202289631</c:v>
                </c:pt>
                <c:pt idx="17">
                  <c:v>-33.087463928342359</c:v>
                </c:pt>
                <c:pt idx="18">
                  <c:v>-35.582774675907551</c:v>
                </c:pt>
                <c:pt idx="19">
                  <c:v>-38.162336800216174</c:v>
                </c:pt>
                <c:pt idx="20">
                  <c:v>-40.809933803814808</c:v>
                </c:pt>
                <c:pt idx="21">
                  <c:v>-43.505995745353012</c:v>
                </c:pt>
                <c:pt idx="22">
                  <c:v>-46.230447529782474</c:v>
                </c:pt>
                <c:pt idx="23">
                  <c:v>-48.961190037434982</c:v>
                </c:pt>
                <c:pt idx="24">
                  <c:v>-51.677641314316517</c:v>
                </c:pt>
                <c:pt idx="25">
                  <c:v>-54.359172162900798</c:v>
                </c:pt>
                <c:pt idx="26">
                  <c:v>-56.988077115116212</c:v>
                </c:pt>
                <c:pt idx="27">
                  <c:v>-59.547738076065571</c:v>
                </c:pt>
                <c:pt idx="28">
                  <c:v>-62.025487634930094</c:v>
                </c:pt>
                <c:pt idx="29">
                  <c:v>-64.410306426270267</c:v>
                </c:pt>
                <c:pt idx="30">
                  <c:v>-66.699805184397704</c:v>
                </c:pt>
                <c:pt idx="31">
                  <c:v>-68.887361042660032</c:v>
                </c:pt>
                <c:pt idx="32">
                  <c:v>-70.973900922349557</c:v>
                </c:pt>
                <c:pt idx="33">
                  <c:v>-72.959793648529342</c:v>
                </c:pt>
                <c:pt idx="34">
                  <c:v>-74.850442891744947</c:v>
                </c:pt>
                <c:pt idx="35">
                  <c:v>-76.650272800831644</c:v>
                </c:pt>
                <c:pt idx="36">
                  <c:v>-78.366401333150051</c:v>
                </c:pt>
                <c:pt idx="37">
                  <c:v>-80.007503912700358</c:v>
                </c:pt>
                <c:pt idx="38">
                  <c:v>-81.580551779783917</c:v>
                </c:pt>
                <c:pt idx="39">
                  <c:v>-83.095889769833605</c:v>
                </c:pt>
                <c:pt idx="40">
                  <c:v>-84.562344176601997</c:v>
                </c:pt>
                <c:pt idx="41">
                  <c:v>-85.989702804862929</c:v>
                </c:pt>
                <c:pt idx="42">
                  <c:v>-87.387574341005603</c:v>
                </c:pt>
                <c:pt idx="43">
                  <c:v>-88.766244331341468</c:v>
                </c:pt>
                <c:pt idx="44">
                  <c:v>-90.135245264723693</c:v>
                </c:pt>
                <c:pt idx="45">
                  <c:v>-91.504741349498602</c:v>
                </c:pt>
                <c:pt idx="46">
                  <c:v>-92.884291863063041</c:v>
                </c:pt>
                <c:pt idx="47">
                  <c:v>-94.283940852526968</c:v>
                </c:pt>
                <c:pt idx="48">
                  <c:v>-95.712947750040797</c:v>
                </c:pt>
                <c:pt idx="49">
                  <c:v>-97.181074794020162</c:v>
                </c:pt>
                <c:pt idx="50">
                  <c:v>-98.697197670736529</c:v>
                </c:pt>
                <c:pt idx="51">
                  <c:v>-100.27035655287885</c:v>
                </c:pt>
                <c:pt idx="52">
                  <c:v>-101.90814139747779</c:v>
                </c:pt>
                <c:pt idx="53">
                  <c:v>-103.61787914653814</c:v>
                </c:pt>
                <c:pt idx="54">
                  <c:v>-105.4046389109934</c:v>
                </c:pt>
                <c:pt idx="55">
                  <c:v>-107.27633278451819</c:v>
                </c:pt>
                <c:pt idx="56">
                  <c:v>-109.23355620722434</c:v>
                </c:pt>
                <c:pt idx="57">
                  <c:v>-111.2786570915188</c:v>
                </c:pt>
                <c:pt idx="58">
                  <c:v>-113.40870069262549</c:v>
                </c:pt>
                <c:pt idx="59">
                  <c:v>-115.62099848836402</c:v>
                </c:pt>
                <c:pt idx="60">
                  <c:v>-117.90683999625982</c:v>
                </c:pt>
                <c:pt idx="61">
                  <c:v>-120.25571808636015</c:v>
                </c:pt>
                <c:pt idx="62">
                  <c:v>-122.65473203284016</c:v>
                </c:pt>
                <c:pt idx="63">
                  <c:v>-125.08421299898474</c:v>
                </c:pt>
                <c:pt idx="64">
                  <c:v>-127.52593908791157</c:v>
                </c:pt>
                <c:pt idx="65">
                  <c:v>-129.95665877518076</c:v>
                </c:pt>
                <c:pt idx="66">
                  <c:v>-132.3528815261669</c:v>
                </c:pt>
                <c:pt idx="67">
                  <c:v>-134.69012130301437</c:v>
                </c:pt>
                <c:pt idx="68">
                  <c:v>-136.94534323538741</c:v>
                </c:pt>
                <c:pt idx="69">
                  <c:v>-139.09551073834936</c:v>
                </c:pt>
                <c:pt idx="70">
                  <c:v>-141.12059801224564</c:v>
                </c:pt>
                <c:pt idx="71">
                  <c:v>-143.00219210304897</c:v>
                </c:pt>
                <c:pt idx="72">
                  <c:v>-144.72539809023459</c:v>
                </c:pt>
                <c:pt idx="73">
                  <c:v>-146.27725574750065</c:v>
                </c:pt>
                <c:pt idx="74">
                  <c:v>-147.64824478092896</c:v>
                </c:pt>
                <c:pt idx="75">
                  <c:v>-148.83057485457437</c:v>
                </c:pt>
                <c:pt idx="76">
                  <c:v>-149.8189495705503</c:v>
                </c:pt>
                <c:pt idx="77">
                  <c:v>-150.60917983634803</c:v>
                </c:pt>
                <c:pt idx="78">
                  <c:v>-151.19883458985666</c:v>
                </c:pt>
                <c:pt idx="79">
                  <c:v>-151.58629472781809</c:v>
                </c:pt>
                <c:pt idx="80">
                  <c:v>-151.77143912428377</c:v>
                </c:pt>
                <c:pt idx="81">
                  <c:v>-151.75379477295974</c:v>
                </c:pt>
                <c:pt idx="82">
                  <c:v>-151.53394543538363</c:v>
                </c:pt>
                <c:pt idx="83">
                  <c:v>-151.11327657565784</c:v>
                </c:pt>
                <c:pt idx="84">
                  <c:v>-150.49342160469959</c:v>
                </c:pt>
                <c:pt idx="85">
                  <c:v>-149.6775786026694</c:v>
                </c:pt>
                <c:pt idx="86">
                  <c:v>-148.6698280134043</c:v>
                </c:pt>
                <c:pt idx="87">
                  <c:v>-147.47520804259938</c:v>
                </c:pt>
                <c:pt idx="88">
                  <c:v>-146.10249031654132</c:v>
                </c:pt>
                <c:pt idx="89">
                  <c:v>-144.56053747209211</c:v>
                </c:pt>
                <c:pt idx="90">
                  <c:v>-142.86238320315499</c:v>
                </c:pt>
                <c:pt idx="91">
                  <c:v>-141.02319212180791</c:v>
                </c:pt>
                <c:pt idx="92">
                  <c:v>-139.06135509120929</c:v>
                </c:pt>
                <c:pt idx="93">
                  <c:v>-136.99706181079395</c:v>
                </c:pt>
                <c:pt idx="94">
                  <c:v>-136.46790388436267</c:v>
                </c:pt>
                <c:pt idx="95">
                  <c:v>-136.19993512615144</c:v>
                </c:pt>
                <c:pt idx="96">
                  <c:v>-135.93394482238179</c:v>
                </c:pt>
                <c:pt idx="97">
                  <c:v>-135.6638510029247</c:v>
                </c:pt>
                <c:pt idx="98">
                  <c:v>-135.39585621788049</c:v>
                </c:pt>
                <c:pt idx="99">
                  <c:v>-135.12376509719027</c:v>
                </c:pt>
                <c:pt idx="100">
                  <c:v>-134.85389360116045</c:v>
                </c:pt>
                <c:pt idx="101">
                  <c:v>-134.58014622784549</c:v>
                </c:pt>
                <c:pt idx="102">
                  <c:v>-134.30873540766385</c:v>
                </c:pt>
                <c:pt idx="103">
                  <c:v>-134.03326845324386</c:v>
                </c:pt>
                <c:pt idx="104">
                  <c:v>-133.76025799800334</c:v>
                </c:pt>
                <c:pt idx="105">
                  <c:v>-133.48342384468904</c:v>
                </c:pt>
                <c:pt idx="106">
                  <c:v>-133.20916186859768</c:v>
                </c:pt>
                <c:pt idx="107">
                  <c:v>-132.93130677897287</c:v>
                </c:pt>
                <c:pt idx="108">
                  <c:v>-132.65613479913534</c:v>
                </c:pt>
                <c:pt idx="109">
                  <c:v>-132.37740886915662</c:v>
                </c:pt>
                <c:pt idx="110">
                  <c:v>-132.10147560432617</c:v>
                </c:pt>
                <c:pt idx="111">
                  <c:v>-131.82185079636446</c:v>
                </c:pt>
                <c:pt idx="112">
                  <c:v>-131.54513045154792</c:v>
                </c:pt>
                <c:pt idx="113">
                  <c:v>-131.26496272366265</c:v>
                </c:pt>
                <c:pt idx="114">
                  <c:v>-130.98780557252425</c:v>
                </c:pt>
                <c:pt idx="115">
                  <c:v>-130.70726393214224</c:v>
                </c:pt>
                <c:pt idx="116">
                  <c:v>-130.42983684682505</c:v>
                </c:pt>
                <c:pt idx="117">
                  <c:v>-130.14909529664106</c:v>
                </c:pt>
                <c:pt idx="118">
                  <c:v>-129.87156987529653</c:v>
                </c:pt>
                <c:pt idx="119">
                  <c:v>-129.59097587235203</c:v>
                </c:pt>
                <c:pt idx="120">
                  <c:v>-129.31369289349828</c:v>
                </c:pt>
                <c:pt idx="121">
                  <c:v>-129.03341620489212</c:v>
                </c:pt>
                <c:pt idx="122">
                  <c:v>-128.75654248371245</c:v>
                </c:pt>
                <c:pt idx="123">
                  <c:v>-128.4765945189904</c:v>
                </c:pt>
                <c:pt idx="124">
                  <c:v>-128.20014229670647</c:v>
                </c:pt>
                <c:pt idx="125">
                  <c:v>-127.9208667878959</c:v>
                </c:pt>
                <c:pt idx="126">
                  <c:v>-127.64517229479929</c:v>
                </c:pt>
                <c:pt idx="127">
                  <c:v>-127.36674507576754</c:v>
                </c:pt>
                <c:pt idx="128">
                  <c:v>-127.09198046713415</c:v>
                </c:pt>
                <c:pt idx="129">
                  <c:v>-126.81457793797661</c:v>
                </c:pt>
                <c:pt idx="130">
                  <c:v>-126.54091571323032</c:v>
                </c:pt>
                <c:pt idx="131">
                  <c:v>-126.26471412472141</c:v>
                </c:pt>
                <c:pt idx="132">
                  <c:v>-126.12804678358498</c:v>
                </c:pt>
                <c:pt idx="133">
                  <c:v>-125.99232642404911</c:v>
                </c:pt>
                <c:pt idx="134">
                  <c:v>-125.85435398170918</c:v>
                </c:pt>
                <c:pt idx="135">
                  <c:v>-125.71736029745483</c:v>
                </c:pt>
                <c:pt idx="136">
                  <c:v>-125.58133839919887</c:v>
                </c:pt>
                <c:pt idx="137">
                  <c:v>-125.44628131793947</c:v>
                </c:pt>
                <c:pt idx="138">
                  <c:v>-125.30914859149267</c:v>
                </c:pt>
                <c:pt idx="139">
                  <c:v>-125.17301026582354</c:v>
                </c:pt>
                <c:pt idx="140">
                  <c:v>-125.03785891148198</c:v>
                </c:pt>
                <c:pt idx="141">
                  <c:v>-124.90368711216779</c:v>
                </c:pt>
                <c:pt idx="142">
                  <c:v>-124.76734058706371</c:v>
                </c:pt>
                <c:pt idx="143">
                  <c:v>-124.63200494780529</c:v>
                </c:pt>
                <c:pt idx="144">
                  <c:v>-124.49767229456209</c:v>
                </c:pt>
                <c:pt idx="145">
                  <c:v>-124.36433475091545</c:v>
                </c:pt>
                <c:pt idx="146">
                  <c:v>-124.22893032469923</c:v>
                </c:pt>
                <c:pt idx="147">
                  <c:v>-124.09455104508595</c:v>
                </c:pt>
                <c:pt idx="148">
                  <c:v>-123.96118856417911</c:v>
                </c:pt>
                <c:pt idx="149">
                  <c:v>-123.82883456783728</c:v>
                </c:pt>
                <c:pt idx="150">
                  <c:v>-123.69445546020278</c:v>
                </c:pt>
                <c:pt idx="151">
                  <c:v>-123.5611145197564</c:v>
                </c:pt>
                <c:pt idx="152">
                  <c:v>-123.4288029630915</c:v>
                </c:pt>
                <c:pt idx="153">
                  <c:v>-123.29751205096656</c:v>
                </c:pt>
                <c:pt idx="154">
                  <c:v>-123.1641783802615</c:v>
                </c:pt>
                <c:pt idx="155">
                  <c:v>-123.03189559432596</c:v>
                </c:pt>
                <c:pt idx="156">
                  <c:v>-122.90065447558344</c:v>
                </c:pt>
                <c:pt idx="157">
                  <c:v>-122.77044586115832</c:v>
                </c:pt>
                <c:pt idx="158">
                  <c:v>-122.63824229241224</c:v>
                </c:pt>
                <c:pt idx="159">
                  <c:v>-122.50710099963638</c:v>
                </c:pt>
                <c:pt idx="160">
                  <c:v>-122.37701234608924</c:v>
                </c:pt>
                <c:pt idx="161">
                  <c:v>-122.24796676028248</c:v>
                </c:pt>
                <c:pt idx="162">
                  <c:v>-122.11703257098407</c:v>
                </c:pt>
                <c:pt idx="163">
                  <c:v>-121.98716976789116</c:v>
                </c:pt>
                <c:pt idx="164">
                  <c:v>-121.85836832475573</c:v>
                </c:pt>
                <c:pt idx="165">
                  <c:v>-121.73061829096879</c:v>
                </c:pt>
                <c:pt idx="166">
                  <c:v>-121.60091609586476</c:v>
                </c:pt>
                <c:pt idx="167">
                  <c:v>-121.47229493524148</c:v>
                </c:pt>
                <c:pt idx="168">
                  <c:v>-121.34474438471916</c:v>
                </c:pt>
                <c:pt idx="169">
                  <c:v>-121.21825410612836</c:v>
                </c:pt>
                <c:pt idx="170">
                  <c:v>-121.09013342991574</c:v>
                </c:pt>
                <c:pt idx="171">
                  <c:v>-120.96309749179004</c:v>
                </c:pt>
                <c:pt idx="172">
                  <c:v>-120.83713555565423</c:v>
                </c:pt>
                <c:pt idx="173">
                  <c:v>-120.71223698128347</c:v>
                </c:pt>
                <c:pt idx="174">
                  <c:v>-120.58528257672511</c:v>
                </c:pt>
                <c:pt idx="175">
                  <c:v>-120.45942348613163</c:v>
                </c:pt>
                <c:pt idx="176">
                  <c:v>-120.33464855965948</c:v>
                </c:pt>
                <c:pt idx="177">
                  <c:v>-120.21094675429055</c:v>
                </c:pt>
                <c:pt idx="178">
                  <c:v>-120.08530469401036</c:v>
                </c:pt>
                <c:pt idx="179">
                  <c:v>-119.96076605346234</c:v>
                </c:pt>
                <c:pt idx="180">
                  <c:v>-119.83731930373344</c:v>
                </c:pt>
                <c:pt idx="181">
                  <c:v>-119.71495303340599</c:v>
                </c:pt>
                <c:pt idx="182">
                  <c:v>-119.59124083535697</c:v>
                </c:pt>
                <c:pt idx="183">
                  <c:v>-119.46862915798935</c:v>
                </c:pt>
                <c:pt idx="184">
                  <c:v>-119.3471062674807</c:v>
                </c:pt>
                <c:pt idx="185">
                  <c:v>-119.22666055580943</c:v>
                </c:pt>
                <c:pt idx="186">
                  <c:v>-119.1040183619897</c:v>
                </c:pt>
                <c:pt idx="187">
                  <c:v>-118.98248885938604</c:v>
                </c:pt>
                <c:pt idx="188">
                  <c:v>-118.86205986895934</c:v>
                </c:pt>
                <c:pt idx="189">
                  <c:v>-118.74271934927889</c:v>
                </c:pt>
                <c:pt idx="190">
                  <c:v>-118.62220884143842</c:v>
                </c:pt>
                <c:pt idx="191">
                  <c:v>-118.50280392861123</c:v>
                </c:pt>
                <c:pt idx="192">
                  <c:v>-118.38449230253572</c:v>
                </c:pt>
                <c:pt idx="193">
                  <c:v>-118.26726179965451</c:v>
                </c:pt>
                <c:pt idx="194">
                  <c:v>-118.14806924377152</c:v>
                </c:pt>
                <c:pt idx="195">
                  <c:v>-118.02998975034393</c:v>
                </c:pt>
                <c:pt idx="196">
                  <c:v>-117.91301064203071</c:v>
                </c:pt>
                <c:pt idx="197">
                  <c:v>-117.79711939703857</c:v>
                </c:pt>
                <c:pt idx="198">
                  <c:v>-117.6798013752647</c:v>
                </c:pt>
                <c:pt idx="199">
                  <c:v>-117.56359343442966</c:v>
                </c:pt>
                <c:pt idx="200">
                  <c:v>-117.44848270654582</c:v>
                </c:pt>
                <c:pt idx="201">
                  <c:v>-117.33445648716001</c:v>
                </c:pt>
                <c:pt idx="202">
                  <c:v>-117.21909342532916</c:v>
                </c:pt>
                <c:pt idx="203">
                  <c:v>-117.10483557011131</c:v>
                </c:pt>
                <c:pt idx="204">
                  <c:v>-116.99166990057311</c:v>
                </c:pt>
                <c:pt idx="205">
                  <c:v>-116.87958356659222</c:v>
                </c:pt>
                <c:pt idx="206">
                  <c:v>-116.76585988884473</c:v>
                </c:pt>
                <c:pt idx="207">
                  <c:v>-116.65324226556704</c:v>
                </c:pt>
                <c:pt idx="208">
                  <c:v>-116.54171742520235</c:v>
                </c:pt>
                <c:pt idx="209">
                  <c:v>-116.43127227596896</c:v>
                </c:pt>
                <c:pt idx="210">
                  <c:v>-116.31892230353567</c:v>
                </c:pt>
                <c:pt idx="211">
                  <c:v>-116.20768434996032</c:v>
                </c:pt>
                <c:pt idx="212">
                  <c:v>-116.09754479994579</c:v>
                </c:pt>
                <c:pt idx="213">
                  <c:v>-115.98849022872743</c:v>
                </c:pt>
                <c:pt idx="214">
                  <c:v>-115.87836572307849</c:v>
                </c:pt>
                <c:pt idx="215">
                  <c:v>-115.76934226805004</c:v>
                </c:pt>
                <c:pt idx="216">
                  <c:v>-115.66140621656987</c:v>
                </c:pt>
                <c:pt idx="217">
                  <c:v>-115.55454411705381</c:v>
                </c:pt>
                <c:pt idx="218">
                  <c:v>-115.44634256602053</c:v>
                </c:pt>
                <c:pt idx="219">
                  <c:v>-115.33923664994886</c:v>
                </c:pt>
                <c:pt idx="220">
                  <c:v>-115.2332125931454</c:v>
                </c:pt>
                <c:pt idx="221">
                  <c:v>-115.1282568220998</c:v>
                </c:pt>
                <c:pt idx="222">
                  <c:v>-115.02205162047194</c:v>
                </c:pt>
                <c:pt idx="223">
                  <c:v>-114.91693481294752</c:v>
                </c:pt>
                <c:pt idx="224">
                  <c:v>-114.81289253405963</c:v>
                </c:pt>
                <c:pt idx="225">
                  <c:v>-114.70991112639925</c:v>
                </c:pt>
                <c:pt idx="226">
                  <c:v>-114.60544998909937</c:v>
                </c:pt>
                <c:pt idx="227">
                  <c:v>-114.50207486608693</c:v>
                </c:pt>
                <c:pt idx="228">
                  <c:v>-114.39977171284136</c:v>
                </c:pt>
                <c:pt idx="229">
                  <c:v>-114.29852670053391</c:v>
                </c:pt>
                <c:pt idx="230">
                  <c:v>-114.09436007617528</c:v>
                </c:pt>
                <c:pt idx="231">
                  <c:v>-113.9938848832154</c:v>
                </c:pt>
                <c:pt idx="232">
                  <c:v>-113.89446308439869</c:v>
                </c:pt>
                <c:pt idx="233">
                  <c:v>-113.79375798072563</c:v>
                </c:pt>
                <c:pt idx="234">
                  <c:v>-113.69412797088232</c:v>
                </c:pt>
                <c:pt idx="235">
                  <c:v>-113.59555877922806</c:v>
                </c:pt>
                <c:pt idx="236">
                  <c:v>-113.4980363584685</c:v>
                </c:pt>
                <c:pt idx="237">
                  <c:v>-113.39959972494687</c:v>
                </c:pt>
                <c:pt idx="238">
                  <c:v>-113.3022239374131</c:v>
                </c:pt>
                <c:pt idx="239">
                  <c:v>-113.20589478590745</c:v>
                </c:pt>
                <c:pt idx="240">
                  <c:v>-113.11059829119124</c:v>
                </c:pt>
                <c:pt idx="241">
                  <c:v>-113.01392343266907</c:v>
                </c:pt>
                <c:pt idx="242">
                  <c:v>-112.91830565703431</c:v>
                </c:pt>
                <c:pt idx="243">
                  <c:v>-112.82373061466357</c:v>
                </c:pt>
                <c:pt idx="244">
                  <c:v>-112.73018419339786</c:v>
                </c:pt>
                <c:pt idx="245">
                  <c:v>-112.63561333891585</c:v>
                </c:pt>
                <c:pt idx="246">
                  <c:v>-112.54208812528529</c:v>
                </c:pt>
                <c:pt idx="247">
                  <c:v>-112.44959422254809</c:v>
                </c:pt>
                <c:pt idx="248">
                  <c:v>-112.3581175414095</c:v>
                </c:pt>
                <c:pt idx="249">
                  <c:v>-112.26544998193604</c:v>
                </c:pt>
                <c:pt idx="250">
                  <c:v>-112.17382069407994</c:v>
                </c:pt>
                <c:pt idx="251">
                  <c:v>-112.08321528863186</c:v>
                </c:pt>
                <c:pt idx="252">
                  <c:v>-111.99361962194298</c:v>
                </c:pt>
                <c:pt idx="253">
                  <c:v>-111.9031553235974</c:v>
                </c:pt>
                <c:pt idx="254">
                  <c:v>-111.81371490981677</c:v>
                </c:pt>
                <c:pt idx="255">
                  <c:v>-111.72528408236199</c:v>
                </c:pt>
                <c:pt idx="256">
                  <c:v>-111.63784878996272</c:v>
                </c:pt>
                <c:pt idx="257">
                  <c:v>-111.54916841759442</c:v>
                </c:pt>
                <c:pt idx="258">
                  <c:v>-111.46150664697429</c:v>
                </c:pt>
                <c:pt idx="259">
                  <c:v>-111.37484908504044</c:v>
                </c:pt>
                <c:pt idx="260">
                  <c:v>-111.28918159131672</c:v>
                </c:pt>
                <c:pt idx="261">
                  <c:v>-111.2025767077635</c:v>
                </c:pt>
                <c:pt idx="262">
                  <c:v>-111.11697827681226</c:v>
                </c:pt>
                <c:pt idx="263">
                  <c:v>-111.0323719589941</c:v>
                </c:pt>
                <c:pt idx="264">
                  <c:v>-110.94874366954144</c:v>
                </c:pt>
                <c:pt idx="265">
                  <c:v>-110.8642534401075</c:v>
                </c:pt>
                <c:pt idx="266">
                  <c:v>-110.78075621960686</c:v>
                </c:pt>
                <c:pt idx="267">
                  <c:v>-110.69823775509377</c:v>
                </c:pt>
                <c:pt idx="268">
                  <c:v>-110.61668404956527</c:v>
                </c:pt>
                <c:pt idx="269">
                  <c:v>-110.53414608163581</c:v>
                </c:pt>
                <c:pt idx="270">
                  <c:v>-110.45259112494905</c:v>
                </c:pt>
                <c:pt idx="271">
                  <c:v>-110.37200494391183</c:v>
                </c:pt>
                <c:pt idx="272">
                  <c:v>-110.29237356168883</c:v>
                </c:pt>
                <c:pt idx="273">
                  <c:v>-110.21183860040048</c:v>
                </c:pt>
                <c:pt idx="274">
                  <c:v>-110.1322751806301</c:v>
                </c:pt>
                <c:pt idx="275">
                  <c:v>-110.05366912012251</c:v>
                </c:pt>
                <c:pt idx="276">
                  <c:v>-109.97600649726417</c:v>
                </c:pt>
                <c:pt idx="277">
                  <c:v>-109.8976921555707</c:v>
                </c:pt>
                <c:pt idx="278">
                  <c:v>-109.82033228127298</c:v>
                </c:pt>
                <c:pt idx="279">
                  <c:v>-109.74391287305939</c:v>
                </c:pt>
                <c:pt idx="280">
                  <c:v>-109.66842018892542</c:v>
                </c:pt>
                <c:pt idx="281">
                  <c:v>-109.59183310867994</c:v>
                </c:pt>
                <c:pt idx="282">
                  <c:v>-109.51619506910106</c:v>
                </c:pt>
                <c:pt idx="283">
                  <c:v>-109.44149199835448</c:v>
                </c:pt>
                <c:pt idx="284">
                  <c:v>-109.36771008871443</c:v>
                </c:pt>
                <c:pt idx="285">
                  <c:v>-109.29340338433586</c:v>
                </c:pt>
                <c:pt idx="286">
                  <c:v>-109.22002645410947</c:v>
                </c:pt>
                <c:pt idx="287">
                  <c:v>-109.1475654660936</c:v>
                </c:pt>
                <c:pt idx="288">
                  <c:v>-109.07600684945157</c:v>
                </c:pt>
                <c:pt idx="289">
                  <c:v>-109.00352130373147</c:v>
                </c:pt>
                <c:pt idx="290">
                  <c:v>-108.93195729257066</c:v>
                </c:pt>
                <c:pt idx="291">
                  <c:v>-108.86130098344478</c:v>
                </c:pt>
                <c:pt idx="292">
                  <c:v>-108.79153880788434</c:v>
                </c:pt>
                <c:pt idx="293">
                  <c:v>-108.72107596773736</c:v>
                </c:pt>
                <c:pt idx="294">
                  <c:v>-108.65152115107507</c:v>
                </c:pt>
                <c:pt idx="295">
                  <c:v>-108.58286064651919</c:v>
                </c:pt>
                <c:pt idx="296">
                  <c:v>-108.51508100655634</c:v>
                </c:pt>
                <c:pt idx="297">
                  <c:v>-108.44666760228704</c:v>
                </c:pt>
                <c:pt idx="298">
                  <c:v>-108.3791476820378</c:v>
                </c:pt>
                <c:pt idx="299">
                  <c:v>-108.31250768352992</c:v>
                </c:pt>
                <c:pt idx="300">
                  <c:v>-108.24673430735758</c:v>
                </c:pt>
                <c:pt idx="301">
                  <c:v>-108.18039007703909</c:v>
                </c:pt>
                <c:pt idx="302">
                  <c:v>-108.11492389690325</c:v>
                </c:pt>
                <c:pt idx="303">
                  <c:v>-108.05032237901074</c:v>
                </c:pt>
                <c:pt idx="304">
                  <c:v>-107.9865723965582</c:v>
                </c:pt>
                <c:pt idx="305">
                  <c:v>-107.92206517664987</c:v>
                </c:pt>
                <c:pt idx="306">
                  <c:v>-107.85842639668816</c:v>
                </c:pt>
                <c:pt idx="307">
                  <c:v>-107.79564271436735</c:v>
                </c:pt>
                <c:pt idx="308">
                  <c:v>-107.73370105005183</c:v>
                </c:pt>
                <c:pt idx="309">
                  <c:v>-107.67130959919616</c:v>
                </c:pt>
                <c:pt idx="310">
                  <c:v>-107.60976927758252</c:v>
                </c:pt>
                <c:pt idx="311">
                  <c:v>-107.54906696928848</c:v>
                </c:pt>
                <c:pt idx="312">
                  <c:v>-107.48918981779565</c:v>
                </c:pt>
                <c:pt idx="313">
                  <c:v>-107.42869466609724</c:v>
                </c:pt>
                <c:pt idx="314">
                  <c:v>-107.3690389099468</c:v>
                </c:pt>
                <c:pt idx="315">
                  <c:v>-107.31020953586714</c:v>
                </c:pt>
                <c:pt idx="316">
                  <c:v>-107.2521937896942</c:v>
                </c:pt>
                <c:pt idx="317">
                  <c:v>-107.19362658057854</c:v>
                </c:pt>
                <c:pt idx="318">
                  <c:v>-107.13588595517042</c:v>
                </c:pt>
                <c:pt idx="319">
                  <c:v>-107.07895903107364</c:v>
                </c:pt>
                <c:pt idx="320">
                  <c:v>-107.02283318429396</c:v>
                </c:pt>
                <c:pt idx="321">
                  <c:v>-106.9662184192252</c:v>
                </c:pt>
                <c:pt idx="322">
                  <c:v>-106.91041648260405</c:v>
                </c:pt>
                <c:pt idx="323">
                  <c:v>-106.85541464902032</c:v>
                </c:pt>
                <c:pt idx="324">
                  <c:v>-106.80120044979321</c:v>
                </c:pt>
                <c:pt idx="325">
                  <c:v>-106.74655606644299</c:v>
                </c:pt>
                <c:pt idx="326">
                  <c:v>-106.69270994093772</c:v>
                </c:pt>
                <c:pt idx="327">
                  <c:v>-106.63964952805534</c:v>
                </c:pt>
                <c:pt idx="328">
                  <c:v>-106.58736253693155</c:v>
                </c:pt>
                <c:pt idx="329">
                  <c:v>-106.53461306377413</c:v>
                </c:pt>
                <c:pt idx="330">
                  <c:v>-106.4826491834685</c:v>
                </c:pt>
                <c:pt idx="331">
                  <c:v>-106.43145849014678</c:v>
                </c:pt>
                <c:pt idx="332">
                  <c:v>-106.38102883095563</c:v>
                </c:pt>
                <c:pt idx="333">
                  <c:v>-106.33027830921837</c:v>
                </c:pt>
                <c:pt idx="334">
                  <c:v>-106.28029734689576</c:v>
                </c:pt>
                <c:pt idx="335">
                  <c:v>-106.23107376089607</c:v>
                </c:pt>
                <c:pt idx="336">
                  <c:v>-106.18259561746285</c:v>
                </c:pt>
                <c:pt idx="337">
                  <c:v>-106.13369013523719</c:v>
                </c:pt>
                <c:pt idx="338">
                  <c:v>-106.08554250160326</c:v>
                </c:pt>
                <c:pt idx="339">
                  <c:v>-106.03814065780922</c:v>
                </c:pt>
                <c:pt idx="340">
                  <c:v>-105.99147279336638</c:v>
                </c:pt>
                <c:pt idx="341">
                  <c:v>-105.94443692021024</c:v>
                </c:pt>
                <c:pt idx="342">
                  <c:v>-105.89814627514023</c:v>
                </c:pt>
                <c:pt idx="343">
                  <c:v>-105.85258894860154</c:v>
                </c:pt>
                <c:pt idx="344">
                  <c:v>-105.80775327749323</c:v>
                </c:pt>
                <c:pt idx="345">
                  <c:v>-105.76267343039395</c:v>
                </c:pt>
                <c:pt idx="346">
                  <c:v>-105.71832319637606</c:v>
                </c:pt>
                <c:pt idx="347">
                  <c:v>-105.67469089025015</c:v>
                </c:pt>
                <c:pt idx="348">
                  <c:v>-105.63176506933422</c:v>
                </c:pt>
                <c:pt idx="349">
                  <c:v>-105.58851310692644</c:v>
                </c:pt>
                <c:pt idx="350">
                  <c:v>-105.54597895827619</c:v>
                </c:pt>
                <c:pt idx="351">
                  <c:v>-105.50415107481902</c:v>
                </c:pt>
                <c:pt idx="352">
                  <c:v>-105.46301814890407</c:v>
                </c:pt>
                <c:pt idx="353">
                  <c:v>-105.42161428096982</c:v>
                </c:pt>
                <c:pt idx="354">
                  <c:v>-105.38091561795851</c:v>
                </c:pt>
                <c:pt idx="355">
                  <c:v>-105.34091077046101</c:v>
                </c:pt>
                <c:pt idx="356">
                  <c:v>-105.30158858770785</c:v>
                </c:pt>
                <c:pt idx="357">
                  <c:v>-105.26210288387183</c:v>
                </c:pt>
                <c:pt idx="358">
                  <c:v>-105.22330713427594</c:v>
                </c:pt>
                <c:pt idx="359">
                  <c:v>-105.18519017583428</c:v>
                </c:pt>
                <c:pt idx="360">
                  <c:v>-105.14774107988985</c:v>
                </c:pt>
                <c:pt idx="361">
                  <c:v>-105.11006749075771</c:v>
                </c:pt>
                <c:pt idx="362">
                  <c:v>-105.07307197871717</c:v>
                </c:pt>
                <c:pt idx="363">
                  <c:v>-105.03674352879032</c:v>
                </c:pt>
                <c:pt idx="364">
                  <c:v>-105.00107135833646</c:v>
                </c:pt>
                <c:pt idx="365">
                  <c:v>-104.96527380016249</c:v>
                </c:pt>
                <c:pt idx="366">
                  <c:v>-104.93013994600805</c:v>
                </c:pt>
                <c:pt idx="367">
                  <c:v>-104.89565899267365</c:v>
                </c:pt>
                <c:pt idx="368">
                  <c:v>-104.86182036536114</c:v>
                </c:pt>
                <c:pt idx="369">
                  <c:v>-104.82780942332928</c:v>
                </c:pt>
                <c:pt idx="370">
                  <c:v>-104.79445085094279</c:v>
                </c:pt>
                <c:pt idx="371">
                  <c:v>-104.76173398591985</c:v>
                </c:pt>
                <c:pt idx="372">
                  <c:v>-104.7296483923763</c:v>
                </c:pt>
                <c:pt idx="373">
                  <c:v>-104.69748152331336</c:v>
                </c:pt>
                <c:pt idx="374">
                  <c:v>-104.66595334223145</c:v>
                </c:pt>
                <c:pt idx="375">
                  <c:v>-104.6350533879075</c:v>
                </c:pt>
                <c:pt idx="376">
                  <c:v>-104.604771421761</c:v>
                </c:pt>
                <c:pt idx="377">
                  <c:v>-104.57437374789755</c:v>
                </c:pt>
                <c:pt idx="378">
                  <c:v>-104.54460382407136</c:v>
                </c:pt>
                <c:pt idx="379">
                  <c:v>-104.51545132576396</c:v>
                </c:pt>
                <c:pt idx="380">
                  <c:v>-104.4869061491094</c:v>
                </c:pt>
                <c:pt idx="381">
                  <c:v>-104.45836349228999</c:v>
                </c:pt>
                <c:pt idx="382">
                  <c:v>-104.43043394199884</c:v>
                </c:pt>
                <c:pt idx="383">
                  <c:v>-104.40310740418617</c:v>
                </c:pt>
                <c:pt idx="384">
                  <c:v>-104.37637400074838</c:v>
                </c:pt>
                <c:pt idx="385">
                  <c:v>-104.34958331383513</c:v>
                </c:pt>
                <c:pt idx="386">
                  <c:v>-104.3233951914404</c:v>
                </c:pt>
                <c:pt idx="387">
                  <c:v>-104.29779967181277</c:v>
                </c:pt>
                <c:pt idx="388">
                  <c:v>-104.2727870071774</c:v>
                </c:pt>
                <c:pt idx="389">
                  <c:v>-104.24779283642917</c:v>
                </c:pt>
                <c:pt idx="390">
                  <c:v>-104.22338863547249</c:v>
                </c:pt>
                <c:pt idx="391">
                  <c:v>-104.19956462792176</c:v>
                </c:pt>
                <c:pt idx="392">
                  <c:v>-104.17631124783614</c:v>
                </c:pt>
                <c:pt idx="393">
                  <c:v>-104.15311587328607</c:v>
                </c:pt>
                <c:pt idx="394">
                  <c:v>-104.13049746905374</c:v>
                </c:pt>
                <c:pt idx="395">
                  <c:v>-104.1084464567857</c:v>
                </c:pt>
                <c:pt idx="396">
                  <c:v>-104.08695346462412</c:v>
                </c:pt>
                <c:pt idx="397">
                  <c:v>-104.065507599588</c:v>
                </c:pt>
                <c:pt idx="398">
                  <c:v>-104.0446279151345</c:v>
                </c:pt>
                <c:pt idx="399">
                  <c:v>-104.02430497853915</c:v>
                </c:pt>
                <c:pt idx="400">
                  <c:v>-104.00452956107544</c:v>
                </c:pt>
                <c:pt idx="401">
                  <c:v>-103.98486453622588</c:v>
                </c:pt>
                <c:pt idx="402">
                  <c:v>-103.96575313987174</c:v>
                </c:pt>
                <c:pt idx="403">
                  <c:v>-103.94718613101608</c:v>
                </c:pt>
                <c:pt idx="404">
                  <c:v>-103.92915446878992</c:v>
                </c:pt>
                <c:pt idx="405">
                  <c:v>-103.91124973199706</c:v>
                </c:pt>
                <c:pt idx="406">
                  <c:v>-103.89388691650947</c:v>
                </c:pt>
                <c:pt idx="407">
                  <c:v>-103.87705695432481</c:v>
                </c:pt>
                <c:pt idx="408">
                  <c:v>-103.86075097418734</c:v>
                </c:pt>
                <c:pt idx="409">
                  <c:v>-103.84459173437372</c:v>
                </c:pt>
                <c:pt idx="410">
                  <c:v>-103.82896343637422</c:v>
                </c:pt>
                <c:pt idx="411">
                  <c:v>-103.81385716908407</c:v>
                </c:pt>
                <c:pt idx="412">
                  <c:v>-103.79926421518152</c:v>
                </c:pt>
                <c:pt idx="413">
                  <c:v>-103.78485536937322</c:v>
                </c:pt>
                <c:pt idx="414">
                  <c:v>-103.77096604745245</c:v>
                </c:pt>
                <c:pt idx="415">
                  <c:v>-103.75758750818753</c:v>
                </c:pt>
                <c:pt idx="416">
                  <c:v>-103.74471120074659</c:v>
                </c:pt>
                <c:pt idx="417">
                  <c:v>-103.73204137800718</c:v>
                </c:pt>
                <c:pt idx="418">
                  <c:v>-103.71988031717646</c:v>
                </c:pt>
                <c:pt idx="419">
                  <c:v>-103.70821943232298</c:v>
                </c:pt>
                <c:pt idx="420">
                  <c:v>-103.69705032490887</c:v>
                </c:pt>
                <c:pt idx="421">
                  <c:v>-103.68613368581573</c:v>
                </c:pt>
                <c:pt idx="422">
                  <c:v>-103.67571366827427</c:v>
                </c:pt>
                <c:pt idx="423">
                  <c:v>-103.66578187829887</c:v>
                </c:pt>
                <c:pt idx="424">
                  <c:v>-103.65633010518404</c:v>
                </c:pt>
                <c:pt idx="425">
                  <c:v>-103.64713523975766</c:v>
                </c:pt>
                <c:pt idx="426">
                  <c:v>-103.63842742179882</c:v>
                </c:pt>
                <c:pt idx="427">
                  <c:v>-103.63019838620124</c:v>
                </c:pt>
                <c:pt idx="428">
                  <c:v>-103.62244004881296</c:v>
                </c:pt>
                <c:pt idx="429">
                  <c:v>-103.61498170036873</c:v>
                </c:pt>
                <c:pt idx="430">
                  <c:v>-103.60799944545404</c:v>
                </c:pt>
                <c:pt idx="431">
                  <c:v>-103.60148518429538</c:v>
                </c:pt>
                <c:pt idx="432">
                  <c:v>-103.59543099464797</c:v>
                </c:pt>
                <c:pt idx="433">
                  <c:v>-103.58970803993981</c:v>
                </c:pt>
                <c:pt idx="434">
                  <c:v>-103.58444992021296</c:v>
                </c:pt>
                <c:pt idx="435">
                  <c:v>-103.57964871042617</c:v>
                </c:pt>
                <c:pt idx="436">
                  <c:v>-103.57529665932556</c:v>
                </c:pt>
                <c:pt idx="437">
                  <c:v>-103.57129815740095</c:v>
                </c:pt>
                <c:pt idx="438">
                  <c:v>-103.56775461002749</c:v>
                </c:pt>
                <c:pt idx="439">
                  <c:v>-103.5646582332778</c:v>
                </c:pt>
                <c:pt idx="440">
                  <c:v>-103.56200141420966</c:v>
                </c:pt>
                <c:pt idx="441">
                  <c:v>-103.55972992622357</c:v>
                </c:pt>
                <c:pt idx="442">
                  <c:v>-103.55790313278322</c:v>
                </c:pt>
                <c:pt idx="443">
                  <c:v>-103.55651340203551</c:v>
                </c:pt>
                <c:pt idx="444">
                  <c:v>-103.5555532699525</c:v>
                </c:pt>
                <c:pt idx="445">
                  <c:v>-103.55500804478882</c:v>
                </c:pt>
                <c:pt idx="446">
                  <c:v>-103.55489694372656</c:v>
                </c:pt>
                <c:pt idx="447">
                  <c:v>-103.55521249623712</c:v>
                </c:pt>
                <c:pt idx="448">
                  <c:v>-103.55594739614851</c:v>
                </c:pt>
                <c:pt idx="449">
                  <c:v>-103.55712702511526</c:v>
                </c:pt>
                <c:pt idx="450">
                  <c:v>-103.55873136893658</c:v>
                </c:pt>
                <c:pt idx="451">
                  <c:v>-103.56075308968337</c:v>
                </c:pt>
                <c:pt idx="452">
                  <c:v>-103.5631850111173</c:v>
                </c:pt>
                <c:pt idx="453">
                  <c:v>-103.5660887749096</c:v>
                </c:pt>
                <c:pt idx="454">
                  <c:v>-103.56940680575504</c:v>
                </c:pt>
                <c:pt idx="455">
                  <c:v>-103.57313192612585</c:v>
                </c:pt>
                <c:pt idx="456">
                  <c:v>-103.57725711666906</c:v>
                </c:pt>
                <c:pt idx="457">
                  <c:v>-103.58188746164832</c:v>
                </c:pt>
                <c:pt idx="458">
                  <c:v>-103.58692269252808</c:v>
                </c:pt>
                <c:pt idx="459">
                  <c:v>-103.59235576554171</c:v>
                </c:pt>
                <c:pt idx="460">
                  <c:v>-103.59817979232623</c:v>
                </c:pt>
                <c:pt idx="461">
                  <c:v>-103.6045364553642</c:v>
                </c:pt>
                <c:pt idx="462">
                  <c:v>-103.61128829796496</c:v>
                </c:pt>
                <c:pt idx="463">
                  <c:v>-103.61842841933002</c:v>
                </c:pt>
                <c:pt idx="464">
                  <c:v>-103.62595007098903</c:v>
                </c:pt>
                <c:pt idx="465">
                  <c:v>-103.63403617292936</c:v>
                </c:pt>
                <c:pt idx="466">
                  <c:v>-103.64250806708435</c:v>
                </c:pt>
                <c:pt idx="467">
                  <c:v>-103.65135898800033</c:v>
                </c:pt>
                <c:pt idx="468">
                  <c:v>-103.66058231966653</c:v>
                </c:pt>
                <c:pt idx="469">
                  <c:v>-103.67039542890279</c:v>
                </c:pt>
                <c:pt idx="470">
                  <c:v>-103.68058465880112</c:v>
                </c:pt>
                <c:pt idx="471">
                  <c:v>-103.69114338730324</c:v>
                </c:pt>
                <c:pt idx="472">
                  <c:v>-103.70206513863947</c:v>
                </c:pt>
                <c:pt idx="473">
                  <c:v>-103.71361722451373</c:v>
                </c:pt>
                <c:pt idx="474">
                  <c:v>-103.72553659169097</c:v>
                </c:pt>
                <c:pt idx="475">
                  <c:v>-103.73781674007056</c:v>
                </c:pt>
                <c:pt idx="476">
                  <c:v>-103.75045131328375</c:v>
                </c:pt>
                <c:pt idx="477">
                  <c:v>-103.76374100637454</c:v>
                </c:pt>
                <c:pt idx="478">
                  <c:v>-103.77738882615256</c:v>
                </c:pt>
                <c:pt idx="479">
                  <c:v>-103.79138840305188</c:v>
                </c:pt>
                <c:pt idx="480">
                  <c:v>-103.80573350839948</c:v>
                </c:pt>
                <c:pt idx="481">
                  <c:v>-103.82075665025793</c:v>
                </c:pt>
                <c:pt idx="482">
                  <c:v>-103.83612850505212</c:v>
                </c:pt>
                <c:pt idx="483">
                  <c:v>-103.85184284091754</c:v>
                </c:pt>
                <c:pt idx="484">
                  <c:v>-103.86789356380298</c:v>
                </c:pt>
                <c:pt idx="485">
                  <c:v>-103.88465499818703</c:v>
                </c:pt>
                <c:pt idx="486">
                  <c:v>-103.90175598196508</c:v>
                </c:pt>
                <c:pt idx="487">
                  <c:v>-103.91919041451595</c:v>
                </c:pt>
                <c:pt idx="488">
                  <c:v>-103.9369523301128</c:v>
                </c:pt>
                <c:pt idx="489">
                  <c:v>-103.95547062418665</c:v>
                </c:pt>
                <c:pt idx="490">
                  <c:v>-103.97431995377592</c:v>
                </c:pt>
                <c:pt idx="491">
                  <c:v>-103.99349433200922</c:v>
                </c:pt>
                <c:pt idx="492">
                  <c:v>-104.01298790447676</c:v>
                </c:pt>
                <c:pt idx="493">
                  <c:v>-104.03325956777523</c:v>
                </c:pt>
                <c:pt idx="494">
                  <c:v>-104.05385346061695</c:v>
                </c:pt>
                <c:pt idx="495">
                  <c:v>-104.07476371750801</c:v>
                </c:pt>
                <c:pt idx="496">
                  <c:v>-104.09598460273286</c:v>
                </c:pt>
                <c:pt idx="497">
                  <c:v>-104.11801764307135</c:v>
                </c:pt>
                <c:pt idx="498">
                  <c:v>-104.14036426007735</c:v>
                </c:pt>
                <c:pt idx="499">
                  <c:v>-104.16301870516229</c:v>
                </c:pt>
                <c:pt idx="500">
                  <c:v>-104.18597535693839</c:v>
                </c:pt>
                <c:pt idx="501">
                  <c:v>-104.20977851031348</c:v>
                </c:pt>
                <c:pt idx="502">
                  <c:v>-104.23388671361796</c:v>
                </c:pt>
                <c:pt idx="503">
                  <c:v>-104.25829433122664</c:v>
                </c:pt>
                <c:pt idx="504">
                  <c:v>-104.28299585222913</c:v>
                </c:pt>
                <c:pt idx="505">
                  <c:v>-104.30856282473434</c:v>
                </c:pt>
                <c:pt idx="506">
                  <c:v>-104.33442606616943</c:v>
                </c:pt>
                <c:pt idx="507">
                  <c:v>-104.36058006032742</c:v>
                </c:pt>
                <c:pt idx="508">
                  <c:v>-104.38701941301733</c:v>
                </c:pt>
                <c:pt idx="509">
                  <c:v>-104.41435783883807</c:v>
                </c:pt>
                <c:pt idx="510">
                  <c:v>-104.4419838816344</c:v>
                </c:pt>
                <c:pt idx="511">
                  <c:v>-104.46989214042402</c:v>
                </c:pt>
                <c:pt idx="512">
                  <c:v>-104.49807733364337</c:v>
                </c:pt>
                <c:pt idx="513">
                  <c:v>-104.52721228789052</c:v>
                </c:pt>
                <c:pt idx="514">
                  <c:v>-104.55662663293002</c:v>
                </c:pt>
                <c:pt idx="515">
                  <c:v>-104.58631507017033</c:v>
                </c:pt>
                <c:pt idx="516">
                  <c:v>-104.61627241819777</c:v>
                </c:pt>
                <c:pt idx="517">
                  <c:v>-104.64719666567932</c:v>
                </c:pt>
                <c:pt idx="518">
                  <c:v>-104.67839181269416</c:v>
                </c:pt>
                <c:pt idx="519">
                  <c:v>-104.70985266945468</c:v>
                </c:pt>
                <c:pt idx="520">
                  <c:v>-104.74157416090314</c:v>
                </c:pt>
                <c:pt idx="521">
                  <c:v>-104.77429629098926</c:v>
                </c:pt>
                <c:pt idx="522">
                  <c:v>-104.80728089554182</c:v>
                </c:pt>
                <c:pt idx="523">
                  <c:v>-104.84052289056012</c:v>
                </c:pt>
                <c:pt idx="524">
                  <c:v>-104.87401730439747</c:v>
                </c:pt>
                <c:pt idx="525">
                  <c:v>-104.90854600745192</c:v>
                </c:pt>
                <c:pt idx="526">
                  <c:v>-104.94332880835815</c:v>
                </c:pt>
                <c:pt idx="527">
                  <c:v>-104.97836072620599</c:v>
                </c:pt>
                <c:pt idx="528">
                  <c:v>-105.01363689012659</c:v>
                </c:pt>
                <c:pt idx="529">
                  <c:v>-105.0499808453371</c:v>
                </c:pt>
                <c:pt idx="530">
                  <c:v>-105.08657055413445</c:v>
                </c:pt>
                <c:pt idx="531">
                  <c:v>-105.12340113628692</c:v>
                </c:pt>
                <c:pt idx="532">
                  <c:v>-105.16046781934884</c:v>
                </c:pt>
                <c:pt idx="533">
                  <c:v>-105.19865535720044</c:v>
                </c:pt>
                <c:pt idx="534">
                  <c:v>-105.23708056482988</c:v>
                </c:pt>
                <c:pt idx="535">
                  <c:v>-105.27573865319823</c:v>
                </c:pt>
                <c:pt idx="536">
                  <c:v>-105.31462493906518</c:v>
                </c:pt>
                <c:pt idx="537">
                  <c:v>-105.35462534705128</c:v>
                </c:pt>
                <c:pt idx="538">
                  <c:v>-105.39485485046765</c:v>
                </c:pt>
                <c:pt idx="539">
                  <c:v>-105.43530876440317</c:v>
                </c:pt>
                <c:pt idx="540">
                  <c:v>-105.47598250736881</c:v>
                </c:pt>
                <c:pt idx="541">
                  <c:v>-105.51784379644884</c:v>
                </c:pt>
                <c:pt idx="542">
                  <c:v>-105.5599260672348</c:v>
                </c:pt>
                <c:pt idx="543">
                  <c:v>-105.60222472295152</c:v>
                </c:pt>
                <c:pt idx="544">
                  <c:v>-105.64473526833223</c:v>
                </c:pt>
                <c:pt idx="545">
                  <c:v>-105.68844525690669</c:v>
                </c:pt>
                <c:pt idx="546">
                  <c:v>-105.73236785785528</c:v>
                </c:pt>
                <c:pt idx="547">
                  <c:v>-105.77649856819616</c:v>
                </c:pt>
                <c:pt idx="548">
                  <c:v>-105.82083298437227</c:v>
                </c:pt>
                <c:pt idx="549">
                  <c:v>-105.86639880779994</c:v>
                </c:pt>
                <c:pt idx="550">
                  <c:v>-105.91216884718447</c:v>
                </c:pt>
                <c:pt idx="551">
                  <c:v>-105.95813869193876</c:v>
                </c:pt>
                <c:pt idx="552">
                  <c:v>-106.00430402885654</c:v>
                </c:pt>
                <c:pt idx="553">
                  <c:v>-106.05175416736408</c:v>
                </c:pt>
                <c:pt idx="554">
                  <c:v>-106.09940026765274</c:v>
                </c:pt>
                <c:pt idx="555">
                  <c:v>-106.14723800439056</c:v>
                </c:pt>
                <c:pt idx="556">
                  <c:v>-106.19526314779456</c:v>
                </c:pt>
                <c:pt idx="557">
                  <c:v>-106.29413378960885</c:v>
                </c:pt>
                <c:pt idx="558">
                  <c:v>-106.39373809442847</c:v>
                </c:pt>
                <c:pt idx="559">
                  <c:v>-106.4963503425614</c:v>
                </c:pt>
                <c:pt idx="560">
                  <c:v>-106.59966235447979</c:v>
                </c:pt>
                <c:pt idx="561">
                  <c:v>-106.70611686982471</c:v>
                </c:pt>
                <c:pt idx="562">
                  <c:v>-106.81323814218527</c:v>
                </c:pt>
                <c:pt idx="563">
                  <c:v>-106.92331377285633</c:v>
                </c:pt>
                <c:pt idx="564">
                  <c:v>-107.03402010478707</c:v>
                </c:pt>
                <c:pt idx="565">
                  <c:v>-107.14813997087026</c:v>
                </c:pt>
                <c:pt idx="566">
                  <c:v>-107.26285883972037</c:v>
                </c:pt>
                <c:pt idx="567">
                  <c:v>-107.38098832540305</c:v>
                </c:pt>
                <c:pt idx="568">
                  <c:v>-107.4996837924887</c:v>
                </c:pt>
                <c:pt idx="569">
                  <c:v>-107.62130542028086</c:v>
                </c:pt>
                <c:pt idx="570">
                  <c:v>-107.7434548144055</c:v>
                </c:pt>
                <c:pt idx="571">
                  <c:v>-107.86947673493458</c:v>
                </c:pt>
                <c:pt idx="572">
                  <c:v>-107.99599548459089</c:v>
                </c:pt>
                <c:pt idx="573">
                  <c:v>-108.12541029506399</c:v>
                </c:pt>
                <c:pt idx="574">
                  <c:v>-108.25528254232735</c:v>
                </c:pt>
                <c:pt idx="575">
                  <c:v>-108.389006325954</c:v>
                </c:pt>
                <c:pt idx="576">
                  <c:v>-108.52315428688223</c:v>
                </c:pt>
                <c:pt idx="577">
                  <c:v>-109.09517444838986</c:v>
                </c:pt>
                <c:pt idx="578">
                  <c:v>-109.67249494156995</c:v>
                </c:pt>
                <c:pt idx="579">
                  <c:v>-110.94904436195787</c:v>
                </c:pt>
                <c:pt idx="580">
                  <c:v>-112.35694354388357</c:v>
                </c:pt>
                <c:pt idx="581">
                  <c:v>-113.89600992433174</c:v>
                </c:pt>
                <c:pt idx="582">
                  <c:v>-115.56882585801716</c:v>
                </c:pt>
                <c:pt idx="583">
                  <c:v>-117.37595514528913</c:v>
                </c:pt>
                <c:pt idx="584">
                  <c:v>-119.32135907268626</c:v>
                </c:pt>
                <c:pt idx="585">
                  <c:v>-121.4082192786595</c:v>
                </c:pt>
                <c:pt idx="586">
                  <c:v>-123.64390369263363</c:v>
                </c:pt>
                <c:pt idx="587">
                  <c:v>-126.04120170287874</c:v>
                </c:pt>
                <c:pt idx="588">
                  <c:v>-128.61548685083872</c:v>
                </c:pt>
                <c:pt idx="589">
                  <c:v>-131.39458107206684</c:v>
                </c:pt>
                <c:pt idx="590">
                  <c:v>-134.41334699960166</c:v>
                </c:pt>
                <c:pt idx="591">
                  <c:v>-137.71947859213526</c:v>
                </c:pt>
                <c:pt idx="592">
                  <c:v>-141.37225041773669</c:v>
                </c:pt>
                <c:pt idx="593">
                  <c:v>-145.4439898703319</c:v>
                </c:pt>
                <c:pt idx="594">
                  <c:v>-150.01258532273474</c:v>
                </c:pt>
                <c:pt idx="595">
                  <c:v>-155.15727748387303</c:v>
                </c:pt>
                <c:pt idx="596">
                  <c:v>-160.93980668228505</c:v>
                </c:pt>
                <c:pt idx="597">
                  <c:v>-167.38620702890751</c:v>
                </c:pt>
                <c:pt idx="598">
                  <c:v>-174.45431900217389</c:v>
                </c:pt>
                <c:pt idx="599">
                  <c:v>-182.01752003832536</c:v>
                </c:pt>
                <c:pt idx="600">
                  <c:v>0</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101.87843174614198</c:v>
                </c:pt>
                <c:pt idx="1">
                  <c:v>101.84817611329959</c:v>
                </c:pt>
                <c:pt idx="2">
                  <c:v>101.81208055679124</c:v>
                </c:pt>
                <c:pt idx="3">
                  <c:v>101.76907996975902</c:v>
                </c:pt>
                <c:pt idx="4">
                  <c:v>101.71797723911224</c:v>
                </c:pt>
                <c:pt idx="5">
                  <c:v>101.65726489243067</c:v>
                </c:pt>
                <c:pt idx="6">
                  <c:v>101.58540487041202</c:v>
                </c:pt>
                <c:pt idx="7">
                  <c:v>101.50052984555593</c:v>
                </c:pt>
                <c:pt idx="8">
                  <c:v>101.4006780785586</c:v>
                </c:pt>
                <c:pt idx="9">
                  <c:v>101.28355297723887</c:v>
                </c:pt>
                <c:pt idx="10">
                  <c:v>101.14682476185936</c:v>
                </c:pt>
                <c:pt idx="11">
                  <c:v>100.9879584381212</c:v>
                </c:pt>
                <c:pt idx="12">
                  <c:v>100.80426039999153</c:v>
                </c:pt>
                <c:pt idx="13">
                  <c:v>100.59332245233188</c:v>
                </c:pt>
                <c:pt idx="14">
                  <c:v>100.35250430903689</c:v>
                </c:pt>
                <c:pt idx="15">
                  <c:v>100.07962640458274</c:v>
                </c:pt>
                <c:pt idx="16">
                  <c:v>99.77274092816323</c:v>
                </c:pt>
                <c:pt idx="17">
                  <c:v>99.430411133527286</c:v>
                </c:pt>
                <c:pt idx="18">
                  <c:v>99.051581714796157</c:v>
                </c:pt>
                <c:pt idx="19">
                  <c:v>98.635990894248877</c:v>
                </c:pt>
                <c:pt idx="20">
                  <c:v>98.1838129818006</c:v>
                </c:pt>
                <c:pt idx="21">
                  <c:v>97.695997078057175</c:v>
                </c:pt>
                <c:pt idx="22">
                  <c:v>97.173839101697141</c:v>
                </c:pt>
                <c:pt idx="23">
                  <c:v>96.619326451787316</c:v>
                </c:pt>
                <c:pt idx="24">
                  <c:v>96.034525592229613</c:v>
                </c:pt>
                <c:pt idx="25">
                  <c:v>95.421964368571523</c:v>
                </c:pt>
                <c:pt idx="26">
                  <c:v>94.784057580936036</c:v>
                </c:pt>
                <c:pt idx="27">
                  <c:v>94.123591274447875</c:v>
                </c:pt>
                <c:pt idx="28">
                  <c:v>93.443070553339425</c:v>
                </c:pt>
                <c:pt idx="29">
                  <c:v>92.74533721162453</c:v>
                </c:pt>
                <c:pt idx="30">
                  <c:v>92.031432632658181</c:v>
                </c:pt>
                <c:pt idx="31">
                  <c:v>91.304372808311243</c:v>
                </c:pt>
                <c:pt idx="32">
                  <c:v>90.565490616788992</c:v>
                </c:pt>
                <c:pt idx="33">
                  <c:v>89.816926202621005</c:v>
                </c:pt>
                <c:pt idx="34">
                  <c:v>89.05950980087519</c:v>
                </c:pt>
                <c:pt idx="35">
                  <c:v>88.294877627044656</c:v>
                </c:pt>
                <c:pt idx="36">
                  <c:v>87.523946735175656</c:v>
                </c:pt>
                <c:pt idx="37">
                  <c:v>86.747164333876441</c:v>
                </c:pt>
                <c:pt idx="38">
                  <c:v>85.965985496128468</c:v>
                </c:pt>
                <c:pt idx="39">
                  <c:v>85.180360703570585</c:v>
                </c:pt>
                <c:pt idx="40">
                  <c:v>84.391039387821749</c:v>
                </c:pt>
                <c:pt idx="41">
                  <c:v>83.598293176858618</c:v>
                </c:pt>
                <c:pt idx="42">
                  <c:v>82.802464269445991</c:v>
                </c:pt>
                <c:pt idx="43">
                  <c:v>82.00344985095127</c:v>
                </c:pt>
                <c:pt idx="44">
                  <c:v>81.201495472043504</c:v>
                </c:pt>
                <c:pt idx="45">
                  <c:v>80.396375813831767</c:v>
                </c:pt>
                <c:pt idx="46">
                  <c:v>79.588091545708195</c:v>
                </c:pt>
                <c:pt idx="47">
                  <c:v>78.776204284084073</c:v>
                </c:pt>
                <c:pt idx="48">
                  <c:v>77.960541029786555</c:v>
                </c:pt>
                <c:pt idx="49">
                  <c:v>77.140403207183468</c:v>
                </c:pt>
                <c:pt idx="50">
                  <c:v>76.315298341282244</c:v>
                </c:pt>
                <c:pt idx="51">
                  <c:v>75.484273372682608</c:v>
                </c:pt>
                <c:pt idx="52">
                  <c:v>74.646678077389112</c:v>
                </c:pt>
                <c:pt idx="53">
                  <c:v>73.801398650519289</c:v>
                </c:pt>
                <c:pt idx="54">
                  <c:v>72.947704100076507</c:v>
                </c:pt>
                <c:pt idx="55">
                  <c:v>72.082684042480864</c:v>
                </c:pt>
                <c:pt idx="56">
                  <c:v>71.205870230431742</c:v>
                </c:pt>
                <c:pt idx="57">
                  <c:v>70.314793664849191</c:v>
                </c:pt>
                <c:pt idx="58">
                  <c:v>69.408015908821852</c:v>
                </c:pt>
                <c:pt idx="59">
                  <c:v>68.48257981838411</c:v>
                </c:pt>
                <c:pt idx="60">
                  <c:v>67.536595212169146</c:v>
                </c:pt>
                <c:pt idx="61">
                  <c:v>66.567423517236847</c:v>
                </c:pt>
                <c:pt idx="62">
                  <c:v>65.572001295695756</c:v>
                </c:pt>
                <c:pt idx="63">
                  <c:v>64.548819835944613</c:v>
                </c:pt>
                <c:pt idx="64">
                  <c:v>63.494780571956888</c:v>
                </c:pt>
                <c:pt idx="65">
                  <c:v>62.408283006314633</c:v>
                </c:pt>
                <c:pt idx="66">
                  <c:v>61.287658686983441</c:v>
                </c:pt>
                <c:pt idx="67">
                  <c:v>60.132005753861264</c:v>
                </c:pt>
                <c:pt idx="68">
                  <c:v>58.940516921677144</c:v>
                </c:pt>
                <c:pt idx="69">
                  <c:v>57.713684638562782</c:v>
                </c:pt>
                <c:pt idx="70">
                  <c:v>56.452094317293529</c:v>
                </c:pt>
                <c:pt idx="71">
                  <c:v>55.157457002545591</c:v>
                </c:pt>
                <c:pt idx="72">
                  <c:v>53.831509079897693</c:v>
                </c:pt>
                <c:pt idx="73">
                  <c:v>52.477063714733312</c:v>
                </c:pt>
                <c:pt idx="74">
                  <c:v>51.096631358164693</c:v>
                </c:pt>
                <c:pt idx="75">
                  <c:v>49.693545592662389</c:v>
                </c:pt>
                <c:pt idx="76">
                  <c:v>48.270775143330496</c:v>
                </c:pt>
                <c:pt idx="77">
                  <c:v>46.832172837124091</c:v>
                </c:pt>
                <c:pt idx="78">
                  <c:v>45.381134504305422</c:v>
                </c:pt>
                <c:pt idx="79">
                  <c:v>43.922028266060344</c:v>
                </c:pt>
                <c:pt idx="80">
                  <c:v>42.455831583421045</c:v>
                </c:pt>
                <c:pt idx="81">
                  <c:v>40.988025594397044</c:v>
                </c:pt>
                <c:pt idx="82">
                  <c:v>39.521048938160206</c:v>
                </c:pt>
                <c:pt idx="83">
                  <c:v>38.059382355112916</c:v>
                </c:pt>
                <c:pt idx="84">
                  <c:v>36.605346442880311</c:v>
                </c:pt>
                <c:pt idx="85">
                  <c:v>35.163219498387882</c:v>
                </c:pt>
                <c:pt idx="86">
                  <c:v>33.736231063943286</c:v>
                </c:pt>
                <c:pt idx="87">
                  <c:v>32.327046489599439</c:v>
                </c:pt>
                <c:pt idx="88">
                  <c:v>30.94034670082868</c:v>
                </c:pt>
                <c:pt idx="89">
                  <c:v>29.578195150451773</c:v>
                </c:pt>
                <c:pt idx="90">
                  <c:v>28.24405969586504</c:v>
                </c:pt>
                <c:pt idx="91">
                  <c:v>26.940423976697524</c:v>
                </c:pt>
                <c:pt idx="92">
                  <c:v>25.669616958196201</c:v>
                </c:pt>
                <c:pt idx="93">
                  <c:v>24.432882838573612</c:v>
                </c:pt>
                <c:pt idx="94">
                  <c:v>24.129311417221537</c:v>
                </c:pt>
                <c:pt idx="95">
                  <c:v>23.977423389077646</c:v>
                </c:pt>
                <c:pt idx="96">
                  <c:v>23.827826388853907</c:v>
                </c:pt>
                <c:pt idx="97">
                  <c:v>23.677073034977564</c:v>
                </c:pt>
                <c:pt idx="98">
                  <c:v>23.528598784847269</c:v>
                </c:pt>
                <c:pt idx="99">
                  <c:v>23.37894465791123</c:v>
                </c:pt>
                <c:pt idx="100">
                  <c:v>23.231558176110738</c:v>
                </c:pt>
                <c:pt idx="101">
                  <c:v>23.083082684977526</c:v>
                </c:pt>
                <c:pt idx="102">
                  <c:v>22.936860366941353</c:v>
                </c:pt>
                <c:pt idx="103">
                  <c:v>22.789420755417154</c:v>
                </c:pt>
                <c:pt idx="104">
                  <c:v>22.644223508565648</c:v>
                </c:pt>
                <c:pt idx="105">
                  <c:v>22.497901177148311</c:v>
                </c:pt>
                <c:pt idx="106">
                  <c:v>22.353807297211652</c:v>
                </c:pt>
                <c:pt idx="107">
                  <c:v>22.208674539570342</c:v>
                </c:pt>
                <c:pt idx="108">
                  <c:v>22.065753455323147</c:v>
                </c:pt>
                <c:pt idx="109">
                  <c:v>21.921776687295189</c:v>
                </c:pt>
                <c:pt idx="110">
                  <c:v>21.779995136015607</c:v>
                </c:pt>
                <c:pt idx="111">
                  <c:v>21.637050092885623</c:v>
                </c:pt>
                <c:pt idx="112">
                  <c:v>21.496286880571539</c:v>
                </c:pt>
                <c:pt idx="113">
                  <c:v>21.354446850306701</c:v>
                </c:pt>
                <c:pt idx="114">
                  <c:v>21.214772350544251</c:v>
                </c:pt>
                <c:pt idx="115">
                  <c:v>21.074013185182842</c:v>
                </c:pt>
                <c:pt idx="116">
                  <c:v>20.935403277923804</c:v>
                </c:pt>
                <c:pt idx="117">
                  <c:v>20.795703330333598</c:v>
                </c:pt>
                <c:pt idx="118">
                  <c:v>20.658136320751446</c:v>
                </c:pt>
                <c:pt idx="119">
                  <c:v>20.519559513440484</c:v>
                </c:pt>
                <c:pt idx="120">
                  <c:v>20.38309668183873</c:v>
                </c:pt>
                <c:pt idx="121">
                  <c:v>20.245617865569542</c:v>
                </c:pt>
                <c:pt idx="122">
                  <c:v>20.110234121622241</c:v>
                </c:pt>
                <c:pt idx="123">
                  <c:v>19.97375181613052</c:v>
                </c:pt>
                <c:pt idx="124">
                  <c:v>19.839348056284319</c:v>
                </c:pt>
                <c:pt idx="125">
                  <c:v>19.703924184364556</c:v>
                </c:pt>
                <c:pt idx="126">
                  <c:v>19.570559775272944</c:v>
                </c:pt>
                <c:pt idx="127">
                  <c:v>19.436174474404385</c:v>
                </c:pt>
                <c:pt idx="128">
                  <c:v>19.303829478486165</c:v>
                </c:pt>
                <c:pt idx="129">
                  <c:v>19.170464272548855</c:v>
                </c:pt>
                <c:pt idx="130">
                  <c:v>19.039120109140462</c:v>
                </c:pt>
                <c:pt idx="131">
                  <c:v>18.906757716655211</c:v>
                </c:pt>
                <c:pt idx="132">
                  <c:v>18.841330606852765</c:v>
                </c:pt>
                <c:pt idx="133">
                  <c:v>18.776396977727597</c:v>
                </c:pt>
                <c:pt idx="134">
                  <c:v>18.710423907289332</c:v>
                </c:pt>
                <c:pt idx="135">
                  <c:v>18.644953833137489</c:v>
                </c:pt>
                <c:pt idx="136">
                  <c:v>18.579979761403521</c:v>
                </c:pt>
                <c:pt idx="137">
                  <c:v>18.515494830096056</c:v>
                </c:pt>
                <c:pt idx="138">
                  <c:v>18.450044752995268</c:v>
                </c:pt>
                <c:pt idx="139">
                  <c:v>18.385092171187011</c:v>
                </c:pt>
                <c:pt idx="140">
                  <c:v>18.320630153031278</c:v>
                </c:pt>
                <c:pt idx="141">
                  <c:v>18.256651898231564</c:v>
                </c:pt>
                <c:pt idx="142">
                  <c:v>18.191650642001271</c:v>
                </c:pt>
                <c:pt idx="143">
                  <c:v>18.127142350888285</c:v>
                </c:pt>
                <c:pt idx="144">
                  <c:v>18.063120137316933</c:v>
                </c:pt>
                <c:pt idx="145">
                  <c:v>17.999577244961205</c:v>
                </c:pt>
                <c:pt idx="146">
                  <c:v>17.935051629363436</c:v>
                </c:pt>
                <c:pt idx="147">
                  <c:v>17.871013896141484</c:v>
                </c:pt>
                <c:pt idx="148">
                  <c:v>17.807457215369009</c:v>
                </c:pt>
                <c:pt idx="149">
                  <c:v>17.744374887912407</c:v>
                </c:pt>
                <c:pt idx="150">
                  <c:v>17.680318088457195</c:v>
                </c:pt>
                <c:pt idx="151">
                  <c:v>17.616744050247281</c:v>
                </c:pt>
                <c:pt idx="152">
                  <c:v>17.553646003919006</c:v>
                </c:pt>
                <c:pt idx="153">
                  <c:v>17.491017310346951</c:v>
                </c:pt>
                <c:pt idx="154">
                  <c:v>17.427393566790354</c:v>
                </c:pt>
                <c:pt idx="155">
                  <c:v>17.364247863923083</c:v>
                </c:pt>
                <c:pt idx="156">
                  <c:v>17.301573486647683</c:v>
                </c:pt>
                <c:pt idx="157">
                  <c:v>17.239363849686672</c:v>
                </c:pt>
                <c:pt idx="158">
                  <c:v>17.176169315642195</c:v>
                </c:pt>
                <c:pt idx="159">
                  <c:v>17.113448028127657</c:v>
                </c:pt>
                <c:pt idx="160">
                  <c:v>17.051193329938762</c:v>
                </c:pt>
                <c:pt idx="161">
                  <c:v>16.989398693153856</c:v>
                </c:pt>
                <c:pt idx="162">
                  <c:v>16.926656966686142</c:v>
                </c:pt>
                <c:pt idx="163">
                  <c:v>16.864383216916249</c:v>
                </c:pt>
                <c:pt idx="164">
                  <c:v>16.802570856633189</c:v>
                </c:pt>
                <c:pt idx="165">
                  <c:v>16.741213427029539</c:v>
                </c:pt>
                <c:pt idx="166">
                  <c:v>16.678864878520091</c:v>
                </c:pt>
                <c:pt idx="167">
                  <c:v>16.616979804570679</c:v>
                </c:pt>
                <c:pt idx="168">
                  <c:v>16.555551673887031</c:v>
                </c:pt>
                <c:pt idx="169">
                  <c:v>16.494574083033644</c:v>
                </c:pt>
                <c:pt idx="170">
                  <c:v>16.432746578199577</c:v>
                </c:pt>
                <c:pt idx="171">
                  <c:v>16.371376046060284</c:v>
                </c:pt>
                <c:pt idx="172">
                  <c:v>16.310456055402195</c:v>
                </c:pt>
                <c:pt idx="173">
                  <c:v>16.249980301142557</c:v>
                </c:pt>
                <c:pt idx="174">
                  <c:v>16.188434653563551</c:v>
                </c:pt>
                <c:pt idx="175">
                  <c:v>16.127342895611704</c:v>
                </c:pt>
                <c:pt idx="176">
                  <c:v>16.066698626197478</c:v>
                </c:pt>
                <c:pt idx="177">
                  <c:v>16.006495570426338</c:v>
                </c:pt>
                <c:pt idx="178">
                  <c:v>15.945263300871463</c:v>
                </c:pt>
                <c:pt idx="179">
                  <c:v>15.884481267113507</c:v>
                </c:pt>
                <c:pt idx="180">
                  <c:v>15.824143112083391</c:v>
                </c:pt>
                <c:pt idx="181">
                  <c:v>15.764242604580705</c:v>
                </c:pt>
                <c:pt idx="182">
                  <c:v>15.703588617172247</c:v>
                </c:pt>
                <c:pt idx="183">
                  <c:v>15.643377249456158</c:v>
                </c:pt>
                <c:pt idx="184">
                  <c:v>15.583602273827694</c:v>
                </c:pt>
                <c:pt idx="185">
                  <c:v>15.524257585940804</c:v>
                </c:pt>
                <c:pt idx="186">
                  <c:v>15.463725706811866</c:v>
                </c:pt>
                <c:pt idx="187">
                  <c:v>15.403635384995482</c:v>
                </c:pt>
                <c:pt idx="188">
                  <c:v>15.343980386173719</c:v>
                </c:pt>
                <c:pt idx="189">
                  <c:v>15.28475460023156</c:v>
                </c:pt>
                <c:pt idx="190">
                  <c:v>15.224833928719239</c:v>
                </c:pt>
                <c:pt idx="191">
                  <c:v>15.165346576882326</c:v>
                </c:pt>
                <c:pt idx="192">
                  <c:v>15.10628645658889</c:v>
                </c:pt>
                <c:pt idx="193">
                  <c:v>15.047647600778953</c:v>
                </c:pt>
                <c:pt idx="194">
                  <c:v>14.987903239150951</c:v>
                </c:pt>
                <c:pt idx="195">
                  <c:v>14.928590165962817</c:v>
                </c:pt>
                <c:pt idx="196">
                  <c:v>14.869702310471498</c:v>
                </c:pt>
                <c:pt idx="197">
                  <c:v>14.811233723247222</c:v>
                </c:pt>
                <c:pt idx="198">
                  <c:v>14.751911874966876</c:v>
                </c:pt>
                <c:pt idx="199">
                  <c:v>14.693015670913692</c:v>
                </c:pt>
                <c:pt idx="200">
                  <c:v>14.634539135340647</c:v>
                </c:pt>
                <c:pt idx="201">
                  <c:v>14.576476411963387</c:v>
                </c:pt>
                <c:pt idx="202">
                  <c:v>14.517590728351422</c:v>
                </c:pt>
                <c:pt idx="203">
                  <c:v>14.459124799215166</c:v>
                </c:pt>
                <c:pt idx="204">
                  <c:v>14.401072750485051</c:v>
                </c:pt>
                <c:pt idx="205">
                  <c:v>14.343428825488722</c:v>
                </c:pt>
                <c:pt idx="206">
                  <c:v>14.284791366648719</c:v>
                </c:pt>
                <c:pt idx="207">
                  <c:v>14.22657038743764</c:v>
                </c:pt>
                <c:pt idx="208">
                  <c:v>14.168760062259732</c:v>
                </c:pt>
                <c:pt idx="209">
                  <c:v>14.111354682230013</c:v>
                </c:pt>
                <c:pt idx="210">
                  <c:v>14.05279772209051</c:v>
                </c:pt>
                <c:pt idx="211">
                  <c:v>13.994656273495099</c:v>
                </c:pt>
                <c:pt idx="212">
                  <c:v>13.936924512532542</c:v>
                </c:pt>
                <c:pt idx="213">
                  <c:v>13.879596732535406</c:v>
                </c:pt>
                <c:pt idx="214">
                  <c:v>13.821536548046005</c:v>
                </c:pt>
                <c:pt idx="215">
                  <c:v>13.763884979139174</c:v>
                </c:pt>
                <c:pt idx="216">
                  <c:v>13.706636328960514</c:v>
                </c:pt>
                <c:pt idx="217">
                  <c:v>13.649785015051419</c:v>
                </c:pt>
                <c:pt idx="218">
                  <c:v>13.592042744461235</c:v>
                </c:pt>
                <c:pt idx="219">
                  <c:v>13.534704677143598</c:v>
                </c:pt>
                <c:pt idx="220">
                  <c:v>13.477765192673999</c:v>
                </c:pt>
                <c:pt idx="221">
                  <c:v>13.421218783494449</c:v>
                </c:pt>
                <c:pt idx="222">
                  <c:v>13.363812482534561</c:v>
                </c:pt>
                <c:pt idx="223">
                  <c:v>13.306805686468637</c:v>
                </c:pt>
                <c:pt idx="224">
                  <c:v>13.250192858440045</c:v>
                </c:pt>
                <c:pt idx="225">
                  <c:v>13.193968572707053</c:v>
                </c:pt>
                <c:pt idx="226">
                  <c:v>13.136740683522344</c:v>
                </c:pt>
                <c:pt idx="227">
                  <c:v>13.079909749161585</c:v>
                </c:pt>
                <c:pt idx="228">
                  <c:v>13.023470272997844</c:v>
                </c:pt>
                <c:pt idx="229">
                  <c:v>12.967416868893638</c:v>
                </c:pt>
                <c:pt idx="230">
                  <c:v>12.853767541566526</c:v>
                </c:pt>
                <c:pt idx="231">
                  <c:v>12.797528400152874</c:v>
                </c:pt>
                <c:pt idx="232">
                  <c:v>12.741672454580284</c:v>
                </c:pt>
                <c:pt idx="233">
                  <c:v>12.684882040575857</c:v>
                </c:pt>
                <c:pt idx="234">
                  <c:v>12.628482252105552</c:v>
                </c:pt>
                <c:pt idx="235">
                  <c:v>12.572467701841788</c:v>
                </c:pt>
                <c:pt idx="236">
                  <c:v>12.516833110840338</c:v>
                </c:pt>
                <c:pt idx="237">
                  <c:v>12.460455936111831</c:v>
                </c:pt>
                <c:pt idx="238">
                  <c:v>12.404463526305687</c:v>
                </c:pt>
                <c:pt idx="239">
                  <c:v>12.348850605660411</c:v>
                </c:pt>
                <c:pt idx="240">
                  <c:v>12.293612004183636</c:v>
                </c:pt>
                <c:pt idx="241">
                  <c:v>12.237344542500191</c:v>
                </c:pt>
                <c:pt idx="242">
                  <c:v>12.181460101124536</c:v>
                </c:pt>
                <c:pt idx="243">
                  <c:v>12.12595343225142</c:v>
                </c:pt>
                <c:pt idx="244">
                  <c:v>12.070819393434874</c:v>
                </c:pt>
                <c:pt idx="245">
                  <c:v>12.014843409341957</c:v>
                </c:pt>
                <c:pt idx="246">
                  <c:v>11.959246214094382</c:v>
                </c:pt>
                <c:pt idx="247">
                  <c:v>11.90402263959867</c:v>
                </c:pt>
                <c:pt idx="248">
                  <c:v>11.849167621306286</c:v>
                </c:pt>
                <c:pt idx="249">
                  <c:v>11.793351637360963</c:v>
                </c:pt>
                <c:pt idx="250">
                  <c:v>11.737911969970654</c:v>
                </c:pt>
                <c:pt idx="251">
                  <c:v>11.68284349561384</c:v>
                </c:pt>
                <c:pt idx="252">
                  <c:v>11.628141193412038</c:v>
                </c:pt>
                <c:pt idx="253">
                  <c:v>11.572653935702748</c:v>
                </c:pt>
                <c:pt idx="254">
                  <c:v>11.517538247292078</c:v>
                </c:pt>
                <c:pt idx="255">
                  <c:v>11.462789096139483</c:v>
                </c:pt>
                <c:pt idx="256">
                  <c:v>11.408401550675961</c:v>
                </c:pt>
                <c:pt idx="257">
                  <c:v>11.352975714632594</c:v>
                </c:pt>
                <c:pt idx="258">
                  <c:v>11.297920261141776</c:v>
                </c:pt>
                <c:pt idx="259">
                  <c:v>11.243230178137289</c:v>
                </c:pt>
                <c:pt idx="260">
                  <c:v>11.188900553731163</c:v>
                </c:pt>
                <c:pt idx="261">
                  <c:v>11.133703988353481</c:v>
                </c:pt>
                <c:pt idx="262">
                  <c:v>11.078874369745982</c:v>
                </c:pt>
                <c:pt idx="263">
                  <c:v>11.024406751937001</c:v>
                </c:pt>
                <c:pt idx="264">
                  <c:v>10.970296287595287</c:v>
                </c:pt>
                <c:pt idx="265">
                  <c:v>10.915347568631834</c:v>
                </c:pt>
                <c:pt idx="266">
                  <c:v>10.860762114582901</c:v>
                </c:pt>
                <c:pt idx="267">
                  <c:v>10.806535050964015</c:v>
                </c:pt>
                <c:pt idx="268">
                  <c:v>10.752661600232933</c:v>
                </c:pt>
                <c:pt idx="269">
                  <c:v>10.697848493873279</c:v>
                </c:pt>
                <c:pt idx="270">
                  <c:v>10.64339644704156</c:v>
                </c:pt>
                <c:pt idx="271">
                  <c:v>10.589300627568631</c:v>
                </c:pt>
                <c:pt idx="272">
                  <c:v>10.535556299283467</c:v>
                </c:pt>
                <c:pt idx="273">
                  <c:v>10.480903594428874</c:v>
                </c:pt>
                <c:pt idx="274">
                  <c:v>10.42660941206163</c:v>
                </c:pt>
                <c:pt idx="275">
                  <c:v>10.37266896943459</c:v>
                </c:pt>
                <c:pt idx="276">
                  <c:v>10.3190775786502</c:v>
                </c:pt>
                <c:pt idx="277">
                  <c:v>10.26473005844478</c:v>
                </c:pt>
                <c:pt idx="278">
                  <c:v>10.210736638569253</c:v>
                </c:pt>
                <c:pt idx="279">
                  <c:v>10.157092623515148</c:v>
                </c:pt>
                <c:pt idx="280">
                  <c:v>10.103793410466055</c:v>
                </c:pt>
                <c:pt idx="281">
                  <c:v>10.04940462561613</c:v>
                </c:pt>
                <c:pt idx="282">
                  <c:v>9.9953700232541358</c:v>
                </c:pt>
                <c:pt idx="283">
                  <c:v>9.941684906059896</c:v>
                </c:pt>
                <c:pt idx="284">
                  <c:v>9.888344669572783</c:v>
                </c:pt>
                <c:pt idx="285">
                  <c:v>9.834299853366419</c:v>
                </c:pt>
                <c:pt idx="286">
                  <c:v>9.7806043095508386</c:v>
                </c:pt>
                <c:pt idx="287">
                  <c:v>9.7272534381054037</c:v>
                </c:pt>
                <c:pt idx="288">
                  <c:v>9.674242729424261</c:v>
                </c:pt>
                <c:pt idx="289">
                  <c:v>9.6202098930821869</c:v>
                </c:pt>
                <c:pt idx="290">
                  <c:v>9.5665257091675198</c:v>
                </c:pt>
                <c:pt idx="291">
                  <c:v>9.5131855905571712</c:v>
                </c:pt>
                <c:pt idx="292">
                  <c:v>9.4601850402949292</c:v>
                </c:pt>
                <c:pt idx="293">
                  <c:v>9.4063065194076056</c:v>
                </c:pt>
                <c:pt idx="294">
                  <c:v>9.3527741984175989</c:v>
                </c:pt>
                <c:pt idx="295">
                  <c:v>9.2995835394296336</c:v>
                </c:pt>
                <c:pt idx="296">
                  <c:v>9.2467300935067662</c:v>
                </c:pt>
                <c:pt idx="297">
                  <c:v>9.1930270121038298</c:v>
                </c:pt>
                <c:pt idx="298">
                  <c:v>9.1396674147201189</c:v>
                </c:pt>
                <c:pt idx="299">
                  <c:v>9.0866468179806485</c:v>
                </c:pt>
                <c:pt idx="300">
                  <c:v>9.0339608261132049</c:v>
                </c:pt>
                <c:pt idx="301">
                  <c:v>8.9804523736356074</c:v>
                </c:pt>
                <c:pt idx="302">
                  <c:v>8.9272844557446405</c:v>
                </c:pt>
                <c:pt idx="303">
                  <c:v>8.8744526481883383</c:v>
                </c:pt>
                <c:pt idx="304">
                  <c:v>8.821952612835414</c:v>
                </c:pt>
                <c:pt idx="305">
                  <c:v>8.7684518472241084</c:v>
                </c:pt>
                <c:pt idx="306">
                  <c:v>8.7152910441210807</c:v>
                </c:pt>
                <c:pt idx="307">
                  <c:v>8.6624657923392085</c:v>
                </c:pt>
                <c:pt idx="308">
                  <c:v>8.6099717665134179</c:v>
                </c:pt>
                <c:pt idx="309">
                  <c:v>8.5567089069634541</c:v>
                </c:pt>
                <c:pt idx="310">
                  <c:v>8.5037825301101968</c:v>
                </c:pt>
                <c:pt idx="311">
                  <c:v>8.4511882942735692</c:v>
                </c:pt>
                <c:pt idx="312">
                  <c:v>8.3989219418317607</c:v>
                </c:pt>
                <c:pt idx="313">
                  <c:v>8.3457164125453414</c:v>
                </c:pt>
                <c:pt idx="314">
                  <c:v>8.2928461725338938</c:v>
                </c:pt>
                <c:pt idx="315">
                  <c:v>8.2403069054879126</c:v>
                </c:pt>
                <c:pt idx="316">
                  <c:v>8.1880943785235178</c:v>
                </c:pt>
                <c:pt idx="317">
                  <c:v>8.1349728634596552</c:v>
                </c:pt>
                <c:pt idx="318">
                  <c:v>8.0821851122084549</c:v>
                </c:pt>
                <c:pt idx="319">
                  <c:v>8.0297268403258233</c:v>
                </c:pt>
                <c:pt idx="320">
                  <c:v>7.9775938459867257</c:v>
                </c:pt>
                <c:pt idx="321">
                  <c:v>7.9245808700359355</c:v>
                </c:pt>
                <c:pt idx="322">
                  <c:v>7.8718998312612429</c:v>
                </c:pt>
                <c:pt idx="323">
                  <c:v>7.8195464829037364</c:v>
                </c:pt>
                <c:pt idx="324">
                  <c:v>7.7675166598622924</c:v>
                </c:pt>
                <c:pt idx="325">
                  <c:v>7.7146347215751572</c:v>
                </c:pt>
                <c:pt idx="326">
                  <c:v>7.6620826218105753</c:v>
                </c:pt>
                <c:pt idx="327">
                  <c:v>7.6098561566720466</c:v>
                </c:pt>
                <c:pt idx="328">
                  <c:v>7.5579512028233218</c:v>
                </c:pt>
                <c:pt idx="329">
                  <c:v>7.5051329997942986</c:v>
                </c:pt>
                <c:pt idx="330">
                  <c:v>7.4526433812408488</c:v>
                </c:pt>
                <c:pt idx="331">
                  <c:v>7.4004781700139208</c:v>
                </c:pt>
                <c:pt idx="332">
                  <c:v>7.3486332688337255</c:v>
                </c:pt>
                <c:pt idx="333">
                  <c:v>7.2959898182617824</c:v>
                </c:pt>
                <c:pt idx="334">
                  <c:v>7.243672331299563</c:v>
                </c:pt>
                <c:pt idx="335">
                  <c:v>7.1916766834407664</c:v>
                </c:pt>
                <c:pt idx="336">
                  <c:v>7.1399988286971139</c:v>
                </c:pt>
                <c:pt idx="337">
                  <c:v>7.0873797822707303</c:v>
                </c:pt>
                <c:pt idx="338">
                  <c:v>7.0350859445143419</c:v>
                </c:pt>
                <c:pt idx="339">
                  <c:v>6.9831132081742826</c:v>
                </c:pt>
                <c:pt idx="340">
                  <c:v>6.931457544057241</c:v>
                </c:pt>
                <c:pt idx="341">
                  <c:v>6.8788905113577457</c:v>
                </c:pt>
                <c:pt idx="342">
                  <c:v>6.8266475959717665</c:v>
                </c:pt>
                <c:pt idx="343">
                  <c:v>6.774724714251307</c:v>
                </c:pt>
                <c:pt idx="344">
                  <c:v>6.7231178599867754</c:v>
                </c:pt>
                <c:pt idx="345">
                  <c:v>6.6707079732239851</c:v>
                </c:pt>
                <c:pt idx="346">
                  <c:v>6.6186198294113074</c:v>
                </c:pt>
                <c:pt idx="347">
                  <c:v>6.5668493925608784</c:v>
                </c:pt>
                <c:pt idx="348">
                  <c:v>6.5153927028941192</c:v>
                </c:pt>
                <c:pt idx="349">
                  <c:v>6.4630022299948493</c:v>
                </c:pt>
                <c:pt idx="350">
                  <c:v>6.4109328206626675</c:v>
                </c:pt>
                <c:pt idx="351">
                  <c:v>6.3591804546588708</c:v>
                </c:pt>
                <c:pt idx="352">
                  <c:v>6.3077411875251279</c:v>
                </c:pt>
                <c:pt idx="353">
                  <c:v>6.2553975043688972</c:v>
                </c:pt>
                <c:pt idx="354">
                  <c:v>6.2033738747809455</c:v>
                </c:pt>
                <c:pt idx="355">
                  <c:v>6.1516663004188583</c:v>
                </c:pt>
                <c:pt idx="356">
                  <c:v>6.1002708581352696</c:v>
                </c:pt>
                <c:pt idx="357">
                  <c:v>6.048073284610167</c:v>
                </c:pt>
                <c:pt idx="358">
                  <c:v>5.9961935525853116</c:v>
                </c:pt>
                <c:pt idx="359">
                  <c:v>5.944627707924556</c:v>
                </c:pt>
                <c:pt idx="360">
                  <c:v>5.893371870544085</c:v>
                </c:pt>
                <c:pt idx="361">
                  <c:v>5.8411939249332203</c:v>
                </c:pt>
                <c:pt idx="362">
                  <c:v>5.7893331528348924</c:v>
                </c:pt>
                <c:pt idx="363">
                  <c:v>5.7377856154493854</c:v>
                </c:pt>
                <c:pt idx="364">
                  <c:v>5.6865474476056477</c:v>
                </c:pt>
                <c:pt idx="365">
                  <c:v>5.6344864626622204</c:v>
                </c:pt>
                <c:pt idx="366">
                  <c:v>5.5827408098916012</c:v>
                </c:pt>
                <c:pt idx="367">
                  <c:v>5.53130658749203</c:v>
                </c:pt>
                <c:pt idx="368">
                  <c:v>5.4801799663286213</c:v>
                </c:pt>
                <c:pt idx="369">
                  <c:v>5.4281180147603871</c:v>
                </c:pt>
                <c:pt idx="370">
                  <c:v>5.376370984456381</c:v>
                </c:pt>
                <c:pt idx="371">
                  <c:v>5.3249349840145239</c:v>
                </c:pt>
                <c:pt idx="372">
                  <c:v>5.2738061943965295</c:v>
                </c:pt>
                <c:pt idx="373">
                  <c:v>5.2218384074046735</c:v>
                </c:pt>
                <c:pt idx="374">
                  <c:v>5.1701839879104625</c:v>
                </c:pt>
                <c:pt idx="375">
                  <c:v>5.1188390759091611</c:v>
                </c:pt>
                <c:pt idx="376">
                  <c:v>5.0677998829378348</c:v>
                </c:pt>
                <c:pt idx="377">
                  <c:v>5.0158161390164748</c:v>
                </c:pt>
                <c:pt idx="378">
                  <c:v>4.9641455373694079</c:v>
                </c:pt>
                <c:pt idx="379">
                  <c:v>4.9127842247925919</c:v>
                </c:pt>
                <c:pt idx="380">
                  <c:v>4.8617284194081254</c:v>
                </c:pt>
                <c:pt idx="381">
                  <c:v>4.8098855239161225</c:v>
                </c:pt>
                <c:pt idx="382">
                  <c:v>4.7583536678801019</c:v>
                </c:pt>
                <c:pt idx="383">
                  <c:v>4.7071290392781506</c:v>
                </c:pt>
                <c:pt idx="384">
                  <c:v>4.6562078963543847</c:v>
                </c:pt>
                <c:pt idx="385">
                  <c:v>4.6043357861678089</c:v>
                </c:pt>
                <c:pt idx="386">
                  <c:v>4.5527746531570186</c:v>
                </c:pt>
                <c:pt idx="387">
                  <c:v>4.5015206889116612</c:v>
                </c:pt>
                <c:pt idx="388">
                  <c:v>4.4505701551495864</c:v>
                </c:pt>
                <c:pt idx="389">
                  <c:v>4.3987591942589495</c:v>
                </c:pt>
                <c:pt idx="390">
                  <c:v>4.3472580697979026</c:v>
                </c:pt>
                <c:pt idx="391">
                  <c:v>4.2960629966000727</c:v>
                </c:pt>
                <c:pt idx="392">
                  <c:v>4.2451702590093197</c:v>
                </c:pt>
                <c:pt idx="393">
                  <c:v>4.193443337728862</c:v>
                </c:pt>
                <c:pt idx="394">
                  <c:v>4.1420248436572837</c:v>
                </c:pt>
                <c:pt idx="395">
                  <c:v>4.0909110196066294</c:v>
                </c:pt>
                <c:pt idx="396">
                  <c:v>4.040098177167609</c:v>
                </c:pt>
                <c:pt idx="397">
                  <c:v>3.9883599748445753</c:v>
                </c:pt>
                <c:pt idx="398">
                  <c:v>3.9369299263411883</c:v>
                </c:pt>
                <c:pt idx="399">
                  <c:v>3.8858042816104827</c:v>
                </c:pt>
                <c:pt idx="400">
                  <c:v>3.8349793591609309</c:v>
                </c:pt>
                <c:pt idx="401">
                  <c:v>3.7833143629731838</c:v>
                </c:pt>
                <c:pt idx="402">
                  <c:v>3.7319562451401289</c:v>
                </c:pt>
                <c:pt idx="403">
                  <c:v>3.6809012808504842</c:v>
                </c:pt>
                <c:pt idx="404">
                  <c:v>3.6301458131867519</c:v>
                </c:pt>
                <c:pt idx="405">
                  <c:v>3.5785201395236048</c:v>
                </c:pt>
                <c:pt idx="406">
                  <c:v>3.5272004723792434</c:v>
                </c:pt>
                <c:pt idx="407">
                  <c:v>3.4761831046894374</c:v>
                </c:pt>
                <c:pt idx="408">
                  <c:v>3.4254643968055283</c:v>
                </c:pt>
                <c:pt idx="409">
                  <c:v>3.3738476535183919</c:v>
                </c:pt>
                <c:pt idx="410">
                  <c:v>3.322536404136855</c:v>
                </c:pt>
                <c:pt idx="411">
                  <c:v>3.2715269526996988</c:v>
                </c:pt>
                <c:pt idx="412">
                  <c:v>3.2208156703449293</c:v>
                </c:pt>
                <c:pt idx="413">
                  <c:v>3.169233685172745</c:v>
                </c:pt>
                <c:pt idx="414">
                  <c:v>3.117956375772498</c:v>
                </c:pt>
                <c:pt idx="415">
                  <c:v>3.0669800626773496</c:v>
                </c:pt>
                <c:pt idx="416">
                  <c:v>3.0163011330745886</c:v>
                </c:pt>
                <c:pt idx="417">
                  <c:v>2.9647261053128937</c:v>
                </c:pt>
                <c:pt idx="418">
                  <c:v>2.913455261516873</c:v>
                </c:pt>
                <c:pt idx="419">
                  <c:v>2.8624849326825847</c:v>
                </c:pt>
                <c:pt idx="420">
                  <c:v>2.8118115161618</c:v>
                </c:pt>
                <c:pt idx="421">
                  <c:v>2.7603197146727974</c:v>
                </c:pt>
                <c:pt idx="422">
                  <c:v>2.709130708131581</c:v>
                </c:pt>
                <c:pt idx="423">
                  <c:v>2.6582408540189628</c:v>
                </c:pt>
                <c:pt idx="424">
                  <c:v>2.6076465754900964</c:v>
                </c:pt>
                <c:pt idx="425">
                  <c:v>2.5561102606542869</c:v>
                </c:pt>
                <c:pt idx="426">
                  <c:v>2.5048768485409894</c:v>
                </c:pt>
                <c:pt idx="427">
                  <c:v>2.4539426960326107</c:v>
                </c:pt>
                <c:pt idx="428">
                  <c:v>2.4033042256556301</c:v>
                </c:pt>
                <c:pt idx="429">
                  <c:v>2.3518006203729072</c:v>
                </c:pt>
                <c:pt idx="430">
                  <c:v>2.300599116776862</c:v>
                </c:pt>
                <c:pt idx="431">
                  <c:v>2.2496960873659018</c:v>
                </c:pt>
                <c:pt idx="432">
                  <c:v>2.1990879698652934</c:v>
                </c:pt>
                <c:pt idx="433">
                  <c:v>2.1476406988185941</c:v>
                </c:pt>
                <c:pt idx="434">
                  <c:v>2.0964944500888807</c:v>
                </c:pt>
                <c:pt idx="435">
                  <c:v>2.0456456166305994</c:v>
                </c:pt>
                <c:pt idx="436">
                  <c:v>1.9950906560943991</c:v>
                </c:pt>
                <c:pt idx="437">
                  <c:v>1.9436295380315427</c:v>
                </c:pt>
                <c:pt idx="438">
                  <c:v>1.8924691783888317</c:v>
                </c:pt>
                <c:pt idx="439">
                  <c:v>1.8416059758169989</c:v>
                </c:pt>
                <c:pt idx="440">
                  <c:v>1.7910363934862721</c:v>
                </c:pt>
                <c:pt idx="441">
                  <c:v>1.7395879564451067</c:v>
                </c:pt>
                <c:pt idx="442">
                  <c:v>1.6884396993599273</c:v>
                </c:pt>
                <c:pt idx="443">
                  <c:v>1.6375880320799401</c:v>
                </c:pt>
                <c:pt idx="444">
                  <c:v>1.5870294286676521</c:v>
                </c:pt>
                <c:pt idx="445">
                  <c:v>1.5356182925558515</c:v>
                </c:pt>
                <c:pt idx="446">
                  <c:v>1.4845064667107022</c:v>
                </c:pt>
                <c:pt idx="447">
                  <c:v>1.4336903772451495</c:v>
                </c:pt>
                <c:pt idx="448">
                  <c:v>1.3831665140608567</c:v>
                </c:pt>
                <c:pt idx="449">
                  <c:v>1.3317296509471945</c:v>
                </c:pt>
                <c:pt idx="450">
                  <c:v>1.2805919542342361</c:v>
                </c:pt>
                <c:pt idx="451">
                  <c:v>1.229749853200681</c:v>
                </c:pt>
                <c:pt idx="452">
                  <c:v>1.1791998408019897</c:v>
                </c:pt>
                <c:pt idx="453">
                  <c:v>1.1278061676760718</c:v>
                </c:pt>
                <c:pt idx="454">
                  <c:v>1.0767107111300966</c:v>
                </c:pt>
                <c:pt idx="455">
                  <c:v>1.0259099178565745</c:v>
                </c:pt>
                <c:pt idx="456">
                  <c:v>0.97540029777707837</c:v>
                </c:pt>
                <c:pt idx="457">
                  <c:v>0.92399004534316032</c:v>
                </c:pt>
                <c:pt idx="458">
                  <c:v>0.87287774449466904</c:v>
                </c:pt>
                <c:pt idx="459">
                  <c:v>0.82205984699619206</c:v>
                </c:pt>
                <c:pt idx="460">
                  <c:v>0.77153286768764273</c:v>
                </c:pt>
                <c:pt idx="461">
                  <c:v>0.72013214114676316</c:v>
                </c:pt>
                <c:pt idx="462">
                  <c:v>0.66902879095120282</c:v>
                </c:pt>
                <c:pt idx="463">
                  <c:v>0.61821927933518606</c:v>
                </c:pt>
                <c:pt idx="464">
                  <c:v>0.56770013132881303</c:v>
                </c:pt>
                <c:pt idx="465">
                  <c:v>0.5162940303925625</c:v>
                </c:pt>
                <c:pt idx="466">
                  <c:v>0.46518489362124826</c:v>
                </c:pt>
                <c:pt idx="467">
                  <c:v>0.4143691906892869</c:v>
                </c:pt>
                <c:pt idx="468">
                  <c:v>0.36384345386082984</c:v>
                </c:pt>
                <c:pt idx="469">
                  <c:v>0.31245709081062789</c:v>
                </c:pt>
                <c:pt idx="470">
                  <c:v>0.26136698114525131</c:v>
                </c:pt>
                <c:pt idx="471">
                  <c:v>0.21056960715881048</c:v>
                </c:pt>
                <c:pt idx="472">
                  <c:v>0.16006151340904914</c:v>
                </c:pt>
                <c:pt idx="473">
                  <c:v>0.10864343638677221</c:v>
                </c:pt>
                <c:pt idx="474">
                  <c:v>5.7521483250142634E-2</c:v>
                </c:pt>
                <c:pt idx="475">
                  <c:v>6.6921384652187405E-3</c:v>
                </c:pt>
                <c:pt idx="476">
                  <c:v>-4.3848051316656686E-2</c:v>
                </c:pt>
                <c:pt idx="477">
                  <c:v>-9.5271210359958836E-2</c:v>
                </c:pt>
                <c:pt idx="478">
                  <c:v>-0.14639869263106775</c:v>
                </c:pt>
                <c:pt idx="479">
                  <c:v>-0.19723400597189589</c:v>
                </c:pt>
                <c:pt idx="480">
                  <c:v>-0.24778059624537982</c:v>
                </c:pt>
                <c:pt idx="481">
                  <c:v>-0.29918410483452434</c:v>
                </c:pt>
                <c:pt idx="482">
                  <c:v>-0.35029267857529028</c:v>
                </c:pt>
                <c:pt idx="483">
                  <c:v>-0.40110981251074407</c:v>
                </c:pt>
                <c:pt idx="484">
                  <c:v>-0.45163894002911686</c:v>
                </c:pt>
                <c:pt idx="485">
                  <c:v>-0.50303475869948455</c:v>
                </c:pt>
                <c:pt idx="486">
                  <c:v>-0.55413625901111918</c:v>
                </c:pt>
                <c:pt idx="487">
                  <c:v>-0.60494692555469032</c:v>
                </c:pt>
                <c:pt idx="488">
                  <c:v>-0.65547018153286729</c:v>
                </c:pt>
                <c:pt idx="489">
                  <c:v>-0.70690293897742185</c:v>
                </c:pt>
                <c:pt idx="490">
                  <c:v>-0.75804149820184297</c:v>
                </c:pt>
                <c:pt idx="491">
                  <c:v>-0.80888934224739473</c:v>
                </c:pt>
                <c:pt idx="492">
                  <c:v>-0.85944989282358997</c:v>
                </c:pt>
                <c:pt idx="493">
                  <c:v>-0.91089315888022726</c:v>
                </c:pt>
                <c:pt idx="494">
                  <c:v>-0.96204266299875618</c:v>
                </c:pt>
                <c:pt idx="495">
                  <c:v>-1.0129018811825627</c:v>
                </c:pt>
                <c:pt idx="496">
                  <c:v>-1.0634742282860867</c:v>
                </c:pt>
                <c:pt idx="497">
                  <c:v>-1.1149360395583348</c:v>
                </c:pt>
                <c:pt idx="498">
                  <c:v>-1.1661044485072778</c:v>
                </c:pt>
                <c:pt idx="499">
                  <c:v>-1.2169829255619504</c:v>
                </c:pt>
                <c:pt idx="500">
                  <c:v>-1.2675748801489051</c:v>
                </c:pt>
                <c:pt idx="501">
                  <c:v>-1.3190621417295407</c:v>
                </c:pt>
                <c:pt idx="502">
                  <c:v>-1.3702562979705082</c:v>
                </c:pt>
                <c:pt idx="503">
                  <c:v>-1.4211608149367634</c:v>
                </c:pt>
                <c:pt idx="504">
                  <c:v>-1.4717790978068672</c:v>
                </c:pt>
                <c:pt idx="505">
                  <c:v>-1.523266538305819</c:v>
                </c:pt>
                <c:pt idx="506">
                  <c:v>-1.5744614735074465</c:v>
                </c:pt>
                <c:pt idx="507">
                  <c:v>-1.6253673598534093</c:v>
                </c:pt>
                <c:pt idx="508">
                  <c:v>-1.6759875931356034</c:v>
                </c:pt>
                <c:pt idx="509">
                  <c:v>-1.7274822087410517</c:v>
                </c:pt>
                <c:pt idx="510">
                  <c:v>-1.7786848560493738</c:v>
                </c:pt>
                <c:pt idx="511">
                  <c:v>-1.829598983090472</c:v>
                </c:pt>
                <c:pt idx="512">
                  <c:v>-1.8802279774504922</c:v>
                </c:pt>
                <c:pt idx="513">
                  <c:v>-1.9317655430534728</c:v>
                </c:pt>
                <c:pt idx="514">
                  <c:v>-1.9830112906762838</c:v>
                </c:pt>
                <c:pt idx="515">
                  <c:v>-2.0339686668569517</c:v>
                </c:pt>
                <c:pt idx="516">
                  <c:v>-2.0846410577322052</c:v>
                </c:pt>
                <c:pt idx="517">
                  <c:v>-2.1361956068773122</c:v>
                </c:pt>
                <c:pt idx="518">
                  <c:v>-2.1874588005359827</c:v>
                </c:pt>
                <c:pt idx="519">
                  <c:v>-2.2384340783247012</c:v>
                </c:pt>
                <c:pt idx="520">
                  <c:v>-2.2891248196252452</c:v>
                </c:pt>
                <c:pt idx="521">
                  <c:v>-2.3407006937125909</c:v>
                </c:pt>
                <c:pt idx="522">
                  <c:v>-2.3919856448412564</c:v>
                </c:pt>
                <c:pt idx="523">
                  <c:v>-2.442983106314168</c:v>
                </c:pt>
                <c:pt idx="524">
                  <c:v>-2.4936964513495732</c:v>
                </c:pt>
                <c:pt idx="525">
                  <c:v>-2.5452972358409132</c:v>
                </c:pt>
                <c:pt idx="526">
                  <c:v>-2.5966075093528191</c:v>
                </c:pt>
                <c:pt idx="527">
                  <c:v>-2.647630699309528</c:v>
                </c:pt>
                <c:pt idx="528">
                  <c:v>-2.6983701731879153</c:v>
                </c:pt>
                <c:pt idx="529">
                  <c:v>-2.7499987639271977</c:v>
                </c:pt>
                <c:pt idx="530">
                  <c:v>-2.8013372437068189</c:v>
                </c:pt>
                <c:pt idx="531">
                  <c:v>-2.8523890343482163</c:v>
                </c:pt>
                <c:pt idx="532">
                  <c:v>-2.9031574978538215</c:v>
                </c:pt>
                <c:pt idx="533">
                  <c:v>-2.9548427577358987</c:v>
                </c:pt>
                <c:pt idx="534">
                  <c:v>-3.0062380050877522</c:v>
                </c:pt>
                <c:pt idx="535">
                  <c:v>-3.0573466615055924</c:v>
                </c:pt>
                <c:pt idx="536">
                  <c:v>-3.108172088767339</c:v>
                </c:pt>
                <c:pt idx="537">
                  <c:v>-3.1598619417817049</c:v>
                </c:pt>
                <c:pt idx="538">
                  <c:v>-3.2112624854386169</c:v>
                </c:pt>
                <c:pt idx="539">
                  <c:v>-3.2623771304899774</c:v>
                </c:pt>
                <c:pt idx="540">
                  <c:v>-3.3132092281140899</c:v>
                </c:pt>
                <c:pt idx="541">
                  <c:v>-3.3649574891889511</c:v>
                </c:pt>
                <c:pt idx="542">
                  <c:v>-3.4164165655292527</c:v>
                </c:pt>
                <c:pt idx="543">
                  <c:v>-3.4675898672853069</c:v>
                </c:pt>
                <c:pt idx="544">
                  <c:v>-3.5184807450377216</c:v>
                </c:pt>
                <c:pt idx="545">
                  <c:v>-3.5702615859079239</c:v>
                </c:pt>
                <c:pt idx="546">
                  <c:v>-3.6217536784129969</c:v>
                </c:pt>
                <c:pt idx="547">
                  <c:v>-3.672960426633531</c:v>
                </c:pt>
                <c:pt idx="548">
                  <c:v>-3.723885175208439</c:v>
                </c:pt>
                <c:pt idx="549">
                  <c:v>-3.775698946563828</c:v>
                </c:pt>
                <c:pt idx="550">
                  <c:v>-3.8272244255475361</c:v>
                </c:pt>
                <c:pt idx="551">
                  <c:v>-3.8784650098430329</c:v>
                </c:pt>
                <c:pt idx="552">
                  <c:v>-3.9294240378245919</c:v>
                </c:pt>
                <c:pt idx="553">
                  <c:v>-3.9812945134737849</c:v>
                </c:pt>
                <c:pt idx="554">
                  <c:v>-4.0328769134930651</c:v>
                </c:pt>
                <c:pt idx="555">
                  <c:v>-4.0841746333923821</c:v>
                </c:pt>
                <c:pt idx="556">
                  <c:v>-4.1351910094037763</c:v>
                </c:pt>
                <c:pt idx="557">
                  <c:v>-4.2387537408017009</c:v>
                </c:pt>
                <c:pt idx="558">
                  <c:v>-4.3411787349670412</c:v>
                </c:pt>
                <c:pt idx="559">
                  <c:v>-4.4448018511471252</c:v>
                </c:pt>
                <c:pt idx="560">
                  <c:v>-4.5472894531445034</c:v>
                </c:pt>
                <c:pt idx="561">
                  <c:v>-4.6510599429613189</c:v>
                </c:pt>
                <c:pt idx="562">
                  <c:v>-4.7536953483467528</c:v>
                </c:pt>
                <c:pt idx="563">
                  <c:v>-4.8573887619619951</c:v>
                </c:pt>
                <c:pt idx="564">
                  <c:v>-4.9599524952097367</c:v>
                </c:pt>
                <c:pt idx="565">
                  <c:v>-5.0639565264017552</c:v>
                </c:pt>
                <c:pt idx="566">
                  <c:v>-5.1668279781191906</c:v>
                </c:pt>
                <c:pt idx="567">
                  <c:v>-5.2710818602375031</c:v>
                </c:pt>
                <c:pt idx="568">
                  <c:v>-5.3742017030922131</c:v>
                </c:pt>
                <c:pt idx="569">
                  <c:v>-5.4782429949268652</c:v>
                </c:pt>
                <c:pt idx="570">
                  <c:v>-5.5811588727959656</c:v>
                </c:pt>
                <c:pt idx="571">
                  <c:v>-5.6857551169863019</c:v>
                </c:pt>
                <c:pt idx="572">
                  <c:v>-5.789218140634893</c:v>
                </c:pt>
                <c:pt idx="573">
                  <c:v>-5.8935170663005367</c:v>
                </c:pt>
                <c:pt idx="574">
                  <c:v>-5.9966934015338964</c:v>
                </c:pt>
                <c:pt idx="575">
                  <c:v>-6.1014348675567129</c:v>
                </c:pt>
                <c:pt idx="576">
                  <c:v>-6.2050486009402412</c:v>
                </c:pt>
                <c:pt idx="577">
                  <c:v>-6.6317980454392877</c:v>
                </c:pt>
                <c:pt idx="578">
                  <c:v>-7.0406015616774065</c:v>
                </c:pt>
                <c:pt idx="579">
                  <c:v>-7.881120898022834</c:v>
                </c:pt>
                <c:pt idx="580">
                  <c:v>-8.728849748120199</c:v>
                </c:pt>
                <c:pt idx="581">
                  <c:v>-9.5834414948616793</c:v>
                </c:pt>
                <c:pt idx="582">
                  <c:v>-10.446290357477679</c:v>
                </c:pt>
                <c:pt idx="583">
                  <c:v>-11.317538934315522</c:v>
                </c:pt>
                <c:pt idx="584">
                  <c:v>-12.198515281856261</c:v>
                </c:pt>
                <c:pt idx="585">
                  <c:v>-13.089232973768814</c:v>
                </c:pt>
                <c:pt idx="586">
                  <c:v>-13.990144314660045</c:v>
                </c:pt>
                <c:pt idx="587">
                  <c:v>-14.90186247601056</c:v>
                </c:pt>
                <c:pt idx="588">
                  <c:v>-15.823483421230032</c:v>
                </c:pt>
                <c:pt idx="589">
                  <c:v>-16.75568266086281</c:v>
                </c:pt>
                <c:pt idx="590">
                  <c:v>-17.698279257888274</c:v>
                </c:pt>
                <c:pt idx="591">
                  <c:v>-18.65220054814915</c:v>
                </c:pt>
                <c:pt idx="592">
                  <c:v>-19.619530465196274</c:v>
                </c:pt>
                <c:pt idx="593">
                  <c:v>-20.605127369716154</c:v>
                </c:pt>
                <c:pt idx="594">
                  <c:v>-21.616942938845149</c:v>
                </c:pt>
                <c:pt idx="595">
                  <c:v>-22.668505393966782</c:v>
                </c:pt>
                <c:pt idx="596">
                  <c:v>-23.779331634576998</c:v>
                </c:pt>
                <c:pt idx="597">
                  <c:v>-24.976159288779005</c:v>
                </c:pt>
                <c:pt idx="598">
                  <c:v>-26.290197102002232</c:v>
                </c:pt>
                <c:pt idx="599">
                  <c:v>-27.753413807686726</c:v>
                </c:pt>
                <c:pt idx="600">
                  <c:v>-29.38970938639747</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-10.816038383256657</c:v>
                </c:pt>
                <c:pt idx="1">
                  <c:v>-11.832403681253785</c:v>
                </c:pt>
                <c:pt idx="2">
                  <c:v>-12.938334138015851</c:v>
                </c:pt>
                <c:pt idx="3">
                  <c:v>-14.140017029913649</c:v>
                </c:pt>
                <c:pt idx="4">
                  <c:v>-15.442660367286553</c:v>
                </c:pt>
                <c:pt idx="5">
                  <c:v>-16.854311125907778</c:v>
                </c:pt>
                <c:pt idx="6">
                  <c:v>-18.37839238570535</c:v>
                </c:pt>
                <c:pt idx="7">
                  <c:v>-20.02044862166527</c:v>
                </c:pt>
                <c:pt idx="8">
                  <c:v>-21.782719750020295</c:v>
                </c:pt>
                <c:pt idx="9">
                  <c:v>-23.668532273326942</c:v>
                </c:pt>
                <c:pt idx="10">
                  <c:v>-25.676986649436454</c:v>
                </c:pt>
                <c:pt idx="11">
                  <c:v>-27.806239575961953</c:v>
                </c:pt>
                <c:pt idx="12">
                  <c:v>-30.052808110608019</c:v>
                </c:pt>
                <c:pt idx="13">
                  <c:v>-32.406957053728355</c:v>
                </c:pt>
                <c:pt idx="14">
                  <c:v>-34.859896897203541</c:v>
                </c:pt>
                <c:pt idx="15">
                  <c:v>-37.397016715541056</c:v>
                </c:pt>
                <c:pt idx="16">
                  <c:v>-40.00195530928756</c:v>
                </c:pt>
                <c:pt idx="17">
                  <c:v>-42.655357242733878</c:v>
                </c:pt>
                <c:pt idx="18">
                  <c:v>-45.337248658978567</c:v>
                </c:pt>
                <c:pt idx="19">
                  <c:v>-48.025216231722702</c:v>
                </c:pt>
                <c:pt idx="20">
                  <c:v>-50.698064254404741</c:v>
                </c:pt>
                <c:pt idx="21">
                  <c:v>-53.334410407480966</c:v>
                </c:pt>
                <c:pt idx="22">
                  <c:v>-55.915708845352277</c:v>
                </c:pt>
                <c:pt idx="23">
                  <c:v>-58.42462951161081</c:v>
                </c:pt>
                <c:pt idx="24">
                  <c:v>-60.848000188002025</c:v>
                </c:pt>
                <c:pt idx="25">
                  <c:v>-63.17475197453448</c:v>
                </c:pt>
                <c:pt idx="26">
                  <c:v>-65.397881474671976</c:v>
                </c:pt>
                <c:pt idx="27">
                  <c:v>-67.512170312695162</c:v>
                </c:pt>
                <c:pt idx="28">
                  <c:v>-69.515987195961571</c:v>
                </c:pt>
                <c:pt idx="29">
                  <c:v>-71.408870275625958</c:v>
                </c:pt>
                <c:pt idx="30">
                  <c:v>-73.196642363544584</c:v>
                </c:pt>
                <c:pt idx="31">
                  <c:v>-74.881011200458829</c:v>
                </c:pt>
                <c:pt idx="32">
                  <c:v>-76.468713758338609</c:v>
                </c:pt>
                <c:pt idx="33">
                  <c:v>-77.965166227392345</c:v>
                </c:pt>
                <c:pt idx="34">
                  <c:v>-79.378746535190018</c:v>
                </c:pt>
                <c:pt idx="35">
                  <c:v>-80.716317383879399</c:v>
                </c:pt>
                <c:pt idx="36">
                  <c:v>-81.98607868701356</c:v>
                </c:pt>
                <c:pt idx="37">
                  <c:v>-83.19680175850084</c:v>
                </c:pt>
                <c:pt idx="38">
                  <c:v>-84.355525201183738</c:v>
                </c:pt>
                <c:pt idx="39">
                  <c:v>-85.471390933173524</c:v>
                </c:pt>
                <c:pt idx="40">
                  <c:v>-86.552119432270771</c:v>
                </c:pt>
                <c:pt idx="41">
                  <c:v>-87.605909465882831</c:v>
                </c:pt>
                <c:pt idx="42">
                  <c:v>-88.640659713389311</c:v>
                </c:pt>
                <c:pt idx="43">
                  <c:v>-89.664656740858547</c:v>
                </c:pt>
                <c:pt idx="44">
                  <c:v>-90.685562806026184</c:v>
                </c:pt>
                <c:pt idx="45">
                  <c:v>-91.711485951828521</c:v>
                </c:pt>
                <c:pt idx="46">
                  <c:v>-92.750096849152285</c:v>
                </c:pt>
                <c:pt idx="47">
                  <c:v>-93.809482572844644</c:v>
                </c:pt>
                <c:pt idx="48">
                  <c:v>-94.897227037904059</c:v>
                </c:pt>
                <c:pt idx="49">
                  <c:v>-96.021424799892458</c:v>
                </c:pt>
                <c:pt idx="50">
                  <c:v>-97.189665990297414</c:v>
                </c:pt>
                <c:pt idx="51">
                  <c:v>-98.409886263843589</c:v>
                </c:pt>
                <c:pt idx="52">
                  <c:v>-99.689167357469955</c:v>
                </c:pt>
                <c:pt idx="53">
                  <c:v>-101.03470427367769</c:v>
                </c:pt>
                <c:pt idx="54">
                  <c:v>-102.45228617081563</c:v>
                </c:pt>
                <c:pt idx="55">
                  <c:v>-103.9504051144698</c:v>
                </c:pt>
                <c:pt idx="56">
                  <c:v>-105.53220605550223</c:v>
                </c:pt>
                <c:pt idx="57">
                  <c:v>-107.20272629333361</c:v>
                </c:pt>
                <c:pt idx="58">
                  <c:v>-108.96319824925439</c:v>
                </c:pt>
                <c:pt idx="59">
                  <c:v>-110.81549517207563</c:v>
                </c:pt>
                <c:pt idx="60">
                  <c:v>-112.75680379163212</c:v>
                </c:pt>
                <c:pt idx="61">
                  <c:v>-114.78289233002461</c:v>
                </c:pt>
                <c:pt idx="62">
                  <c:v>-116.88736410235887</c:v>
                </c:pt>
                <c:pt idx="63">
                  <c:v>-119.05739168437478</c:v>
                </c:pt>
                <c:pt idx="64">
                  <c:v>-121.28049717295869</c:v>
                </c:pt>
                <c:pt idx="65">
                  <c:v>-123.53836035290958</c:v>
                </c:pt>
                <c:pt idx="66">
                  <c:v>-125.81069592468359</c:v>
                </c:pt>
                <c:pt idx="67">
                  <c:v>-128.07427699593907</c:v>
                </c:pt>
                <c:pt idx="68">
                  <c:v>-130.30514371835937</c:v>
                </c:pt>
                <c:pt idx="69">
                  <c:v>-132.47723584813863</c:v>
                </c:pt>
                <c:pt idx="70">
                  <c:v>-134.5656023943537</c:v>
                </c:pt>
                <c:pt idx="71">
                  <c:v>-136.54539594964498</c:v>
                </c:pt>
                <c:pt idx="72">
                  <c:v>-138.39433041369688</c:v>
                </c:pt>
                <c:pt idx="73">
                  <c:v>-140.09154251509398</c:v>
                </c:pt>
                <c:pt idx="74">
                  <c:v>-141.61970974007679</c:v>
                </c:pt>
                <c:pt idx="75">
                  <c:v>-142.9636235321459</c:v>
                </c:pt>
                <c:pt idx="76">
                  <c:v>-144.11137587533463</c:v>
                </c:pt>
                <c:pt idx="77">
                  <c:v>-145.05302188636381</c:v>
                </c:pt>
                <c:pt idx="78">
                  <c:v>-145.78148441331572</c:v>
                </c:pt>
                <c:pt idx="79">
                  <c:v>-146.29150673770135</c:v>
                </c:pt>
                <c:pt idx="80">
                  <c:v>-146.58066862290639</c:v>
                </c:pt>
                <c:pt idx="81">
                  <c:v>-146.64687107992501</c:v>
                </c:pt>
                <c:pt idx="82">
                  <c:v>-146.49028484174559</c:v>
                </c:pt>
                <c:pt idx="83">
                  <c:v>-146.11273005007436</c:v>
                </c:pt>
                <c:pt idx="84">
                  <c:v>-145.51726226005073</c:v>
                </c:pt>
                <c:pt idx="85">
                  <c:v>-144.70932214394463</c:v>
                </c:pt>
                <c:pt idx="86">
                  <c:v>-143.69608580583346</c:v>
                </c:pt>
                <c:pt idx="87">
                  <c:v>-142.48643027985761</c:v>
                </c:pt>
                <c:pt idx="88">
                  <c:v>-141.09364195688391</c:v>
                </c:pt>
                <c:pt idx="89">
                  <c:v>-139.53156153157545</c:v>
                </c:pt>
                <c:pt idx="90">
                  <c:v>-137.81848992987199</c:v>
                </c:pt>
                <c:pt idx="91">
                  <c:v>-135.9748306502361</c:v>
                </c:pt>
                <c:pt idx="92">
                  <c:v>-134.02386077708368</c:v>
                </c:pt>
                <c:pt idx="93">
                  <c:v>-131.98996226459536</c:v>
                </c:pt>
                <c:pt idx="94">
                  <c:v>-131.47184694857597</c:v>
                </c:pt>
                <c:pt idx="95">
                  <c:v>-131.20998403047574</c:v>
                </c:pt>
                <c:pt idx="96">
                  <c:v>-130.95039750764391</c:v>
                </c:pt>
                <c:pt idx="97">
                  <c:v>-130.68715688759636</c:v>
                </c:pt>
                <c:pt idx="98">
                  <c:v>-130.42631205379621</c:v>
                </c:pt>
                <c:pt idx="99">
                  <c:v>-130.16183757460465</c:v>
                </c:pt>
                <c:pt idx="100">
                  <c:v>-129.89987691809608</c:v>
                </c:pt>
                <c:pt idx="101">
                  <c:v>-129.63451707918105</c:v>
                </c:pt>
                <c:pt idx="102">
                  <c:v>-129.37178362682548</c:v>
                </c:pt>
                <c:pt idx="103">
                  <c:v>-129.10549204248719</c:v>
                </c:pt>
                <c:pt idx="104">
                  <c:v>-128.84194148588696</c:v>
                </c:pt>
                <c:pt idx="105">
                  <c:v>-128.57507229241307</c:v>
                </c:pt>
                <c:pt idx="106">
                  <c:v>-128.31105270942501</c:v>
                </c:pt>
                <c:pt idx="107">
                  <c:v>-128.04394975488594</c:v>
                </c:pt>
                <c:pt idx="108">
                  <c:v>-127.77979853747209</c:v>
                </c:pt>
                <c:pt idx="109">
                  <c:v>-127.51261340035829</c:v>
                </c:pt>
                <c:pt idx="110">
                  <c:v>-127.24847948053436</c:v>
                </c:pt>
                <c:pt idx="111">
                  <c:v>-126.98119136198403</c:v>
                </c:pt>
                <c:pt idx="112">
                  <c:v>-126.71705526235007</c:v>
                </c:pt>
                <c:pt idx="113">
                  <c:v>-126.45000884688412</c:v>
                </c:pt>
                <c:pt idx="114">
                  <c:v>-126.18620799880085</c:v>
                </c:pt>
                <c:pt idx="115">
                  <c:v>-125.91956600981064</c:v>
                </c:pt>
                <c:pt idx="116">
                  <c:v>-125.65625983549904</c:v>
                </c:pt>
                <c:pt idx="117">
                  <c:v>-125.39018739209835</c:v>
                </c:pt>
                <c:pt idx="118">
                  <c:v>-125.12753749145897</c:v>
                </c:pt>
                <c:pt idx="119">
                  <c:v>-124.8623611749622</c:v>
                </c:pt>
                <c:pt idx="120">
                  <c:v>-124.60068617216169</c:v>
                </c:pt>
                <c:pt idx="121">
                  <c:v>-124.33656108597586</c:v>
                </c:pt>
                <c:pt idx="122">
                  <c:v>-124.07601220975756</c:v>
                </c:pt>
                <c:pt idx="123">
                  <c:v>-123.81294258065483</c:v>
                </c:pt>
                <c:pt idx="124">
                  <c:v>-123.55352421283877</c:v>
                </c:pt>
                <c:pt idx="125">
                  <c:v>-123.29182501690698</c:v>
                </c:pt>
                <c:pt idx="126">
                  <c:v>-123.03384364968637</c:v>
                </c:pt>
                <c:pt idx="127">
                  <c:v>-122.77366920756441</c:v>
                </c:pt>
                <c:pt idx="128">
                  <c:v>-122.51727479876394</c:v>
                </c:pt>
                <c:pt idx="129">
                  <c:v>-122.25877793492785</c:v>
                </c:pt>
                <c:pt idx="130">
                  <c:v>-122.00411881360863</c:v>
                </c:pt>
                <c:pt idx="131">
                  <c:v>-121.74745026438943</c:v>
                </c:pt>
                <c:pt idx="132">
                  <c:v>-121.62057905305764</c:v>
                </c:pt>
                <c:pt idx="133">
                  <c:v>-121.49467255479429</c:v>
                </c:pt>
                <c:pt idx="134">
                  <c:v>-121.36676410745662</c:v>
                </c:pt>
                <c:pt idx="135">
                  <c:v>-121.23984993478626</c:v>
                </c:pt>
                <c:pt idx="136">
                  <c:v>-121.11392156713359</c:v>
                </c:pt>
                <c:pt idx="137">
                  <c:v>-120.98897057380182</c:v>
                </c:pt>
                <c:pt idx="138">
                  <c:v>-120.86218488398291</c:v>
                </c:pt>
                <c:pt idx="139">
                  <c:v>-120.73640374898744</c:v>
                </c:pt>
                <c:pt idx="140">
                  <c:v>-120.61161828853767</c:v>
                </c:pt>
                <c:pt idx="141">
                  <c:v>-120.48781967223664</c:v>
                </c:pt>
                <c:pt idx="142">
                  <c:v>-120.36209842577692</c:v>
                </c:pt>
                <c:pt idx="143">
                  <c:v>-120.237392820209</c:v>
                </c:pt>
                <c:pt idx="144">
                  <c:v>-120.11369355404391</c:v>
                </c:pt>
                <c:pt idx="145">
                  <c:v>-119.99099138672705</c:v>
                </c:pt>
                <c:pt idx="146">
                  <c:v>-119.8664693706978</c:v>
                </c:pt>
                <c:pt idx="147">
                  <c:v>-119.74297181178281</c:v>
                </c:pt>
                <c:pt idx="148">
                  <c:v>-119.62048901829073</c:v>
                </c:pt>
                <c:pt idx="149">
                  <c:v>-119.49901137030348</c:v>
                </c:pt>
                <c:pt idx="150">
                  <c:v>-119.37575530876683</c:v>
                </c:pt>
                <c:pt idx="151">
                  <c:v>-119.25353127239268</c:v>
                </c:pt>
                <c:pt idx="152">
                  <c:v>-119.1323291978496</c:v>
                </c:pt>
                <c:pt idx="153">
                  <c:v>-119.01213910426104</c:v>
                </c:pt>
                <c:pt idx="154">
                  <c:v>-118.89015734230605</c:v>
                </c:pt>
                <c:pt idx="155">
                  <c:v>-118.76921487597291</c:v>
                </c:pt>
                <c:pt idx="156">
                  <c:v>-118.64930127550298</c:v>
                </c:pt>
                <c:pt idx="157">
                  <c:v>-118.530406204249</c:v>
                </c:pt>
                <c:pt idx="158">
                  <c:v>-118.40976592755362</c:v>
                </c:pt>
                <c:pt idx="159">
                  <c:v>-118.29017091996499</c:v>
                </c:pt>
                <c:pt idx="160">
                  <c:v>-118.17161040564011</c:v>
                </c:pt>
                <c:pt idx="161">
                  <c:v>-118.05407371229533</c:v>
                </c:pt>
                <c:pt idx="162">
                  <c:v>-117.93489119278183</c:v>
                </c:pt>
                <c:pt idx="163">
                  <c:v>-117.81675770891765</c:v>
                </c:pt>
                <c:pt idx="164">
                  <c:v>-117.69966217458487</c:v>
                </c:pt>
                <c:pt idx="165">
                  <c:v>-117.58359361722154</c:v>
                </c:pt>
                <c:pt idx="166">
                  <c:v>-117.46582371436142</c:v>
                </c:pt>
                <c:pt idx="167">
                  <c:v>-117.34910719060552</c:v>
                </c:pt>
                <c:pt idx="168">
                  <c:v>-117.23343264231778</c:v>
                </c:pt>
                <c:pt idx="169">
                  <c:v>-117.11878878952068</c:v>
                </c:pt>
                <c:pt idx="170">
                  <c:v>-117.00273727775796</c:v>
                </c:pt>
                <c:pt idx="171">
                  <c:v>-116.88773777339942</c:v>
                </c:pt>
                <c:pt idx="172">
                  <c:v>-116.77377865112808</c:v>
                </c:pt>
                <c:pt idx="173">
                  <c:v>-116.6608484179651</c:v>
                </c:pt>
                <c:pt idx="174">
                  <c:v>-116.54612743491801</c:v>
                </c:pt>
                <c:pt idx="175">
                  <c:v>-116.43246383111577</c:v>
                </c:pt>
                <c:pt idx="176">
                  <c:v>-116.31984565049471</c:v>
                </c:pt>
                <c:pt idx="177">
                  <c:v>-116.20826107965627</c:v>
                </c:pt>
                <c:pt idx="178">
                  <c:v>-116.09499246904691</c:v>
                </c:pt>
                <c:pt idx="179">
                  <c:v>-115.98278427321871</c:v>
                </c:pt>
                <c:pt idx="180">
                  <c:v>-115.8716242448256</c:v>
                </c:pt>
                <c:pt idx="181">
                  <c:v>-115.76150028895695</c:v>
                </c:pt>
                <c:pt idx="182">
                  <c:v>-115.65022883014689</c:v>
                </c:pt>
                <c:pt idx="183">
                  <c:v>-115.54001036108987</c:v>
                </c:pt>
                <c:pt idx="184">
                  <c:v>-115.43083252809055</c:v>
                </c:pt>
                <c:pt idx="185">
                  <c:v>-115.32268313652763</c:v>
                </c:pt>
                <c:pt idx="186">
                  <c:v>-115.21262346376577</c:v>
                </c:pt>
                <c:pt idx="187">
                  <c:v>-115.10362388013166</c:v>
                </c:pt>
                <c:pt idx="188">
                  <c:v>-114.99567167306613</c:v>
                </c:pt>
                <c:pt idx="189">
                  <c:v>-114.8887543000484</c:v>
                </c:pt>
                <c:pt idx="190">
                  <c:v>-114.78084835374166</c:v>
                </c:pt>
                <c:pt idx="191">
                  <c:v>-114.67399134641836</c:v>
                </c:pt>
                <c:pt idx="192">
                  <c:v>-114.5681705364876</c:v>
                </c:pt>
                <c:pt idx="193">
                  <c:v>-114.46337335746837</c:v>
                </c:pt>
                <c:pt idx="194">
                  <c:v>-114.35687992815981</c:v>
                </c:pt>
                <c:pt idx="195">
                  <c:v>-114.25143824884897</c:v>
                </c:pt>
                <c:pt idx="196">
                  <c:v>-114.14703529965355</c:v>
                </c:pt>
                <c:pt idx="197">
                  <c:v>-114.04365824536758</c:v>
                </c:pt>
                <c:pt idx="198">
                  <c:v>-113.93906413214759</c:v>
                </c:pt>
                <c:pt idx="199">
                  <c:v>-113.83551481451563</c:v>
                </c:pt>
                <c:pt idx="200">
                  <c:v>-113.73299717742755</c:v>
                </c:pt>
                <c:pt idx="201">
                  <c:v>-113.63149829661994</c:v>
                </c:pt>
                <c:pt idx="202">
                  <c:v>-113.5288629343887</c:v>
                </c:pt>
                <c:pt idx="203">
                  <c:v>-113.4272637972751</c:v>
                </c:pt>
                <c:pt idx="204">
                  <c:v>-113.32668771143233</c:v>
                </c:pt>
                <c:pt idx="205">
                  <c:v>-113.22712169907922</c:v>
                </c:pt>
                <c:pt idx="206">
                  <c:v>-113.12615285076747</c:v>
                </c:pt>
                <c:pt idx="207">
                  <c:v>-113.0262171685476</c:v>
                </c:pt>
                <c:pt idx="208">
                  <c:v>-112.92730131947721</c:v>
                </c:pt>
                <c:pt idx="209">
                  <c:v>-112.82939217388476</c:v>
                </c:pt>
                <c:pt idx="210">
                  <c:v>-112.72984446491826</c:v>
                </c:pt>
                <c:pt idx="211">
                  <c:v>-112.63133173788141</c:v>
                </c:pt>
                <c:pt idx="212">
                  <c:v>-112.53384040734413</c:v>
                </c:pt>
                <c:pt idx="213">
                  <c:v>-112.43735710029586</c:v>
                </c:pt>
                <c:pt idx="214">
                  <c:v>-112.33997525265521</c:v>
                </c:pt>
                <c:pt idx="215">
                  <c:v>-112.24361457585842</c:v>
                </c:pt>
                <c:pt idx="216">
                  <c:v>-112.14826154185283</c:v>
                </c:pt>
                <c:pt idx="217">
                  <c:v>-112.05390283767193</c:v>
                </c:pt>
                <c:pt idx="218">
                  <c:v>-111.95840757365097</c:v>
                </c:pt>
                <c:pt idx="219">
                  <c:v>-111.8639250021771</c:v>
                </c:pt>
                <c:pt idx="220">
                  <c:v>-111.77044155351609</c:v>
                </c:pt>
                <c:pt idx="221">
                  <c:v>-111.67794387765004</c:v>
                </c:pt>
                <c:pt idx="222">
                  <c:v>-111.58438945693747</c:v>
                </c:pt>
                <c:pt idx="223">
                  <c:v>-111.49183772203999</c:v>
                </c:pt>
                <c:pt idx="224">
                  <c:v>-111.40027509738609</c:v>
                </c:pt>
                <c:pt idx="225">
                  <c:v>-111.30968823088729</c:v>
                </c:pt>
                <c:pt idx="226">
                  <c:v>-111.21784254647234</c:v>
                </c:pt>
                <c:pt idx="227">
                  <c:v>-111.1269941635183</c:v>
                </c:pt>
                <c:pt idx="228">
                  <c:v>-111.0371294112134</c:v>
                </c:pt>
                <c:pt idx="229">
                  <c:v>-110.94823484789481</c:v>
                </c:pt>
                <c:pt idx="230">
                  <c:v>-110.76909679618649</c:v>
                </c:pt>
                <c:pt idx="231">
                  <c:v>-110.68099921571432</c:v>
                </c:pt>
                <c:pt idx="232">
                  <c:v>-110.5938645313652</c:v>
                </c:pt>
                <c:pt idx="233">
                  <c:v>-110.50564497641788</c:v>
                </c:pt>
                <c:pt idx="234">
                  <c:v>-110.41840669200297</c:v>
                </c:pt>
                <c:pt idx="235">
                  <c:v>-110.33213593508806</c:v>
                </c:pt>
                <c:pt idx="236">
                  <c:v>-110.24681920036306</c:v>
                </c:pt>
                <c:pt idx="237">
                  <c:v>-110.16074088529139</c:v>
                </c:pt>
                <c:pt idx="238">
                  <c:v>-110.07562803224717</c:v>
                </c:pt>
                <c:pt idx="239">
                  <c:v>-109.99146703259314</c:v>
                </c:pt>
                <c:pt idx="240">
                  <c:v>-109.90824451565138</c:v>
                </c:pt>
                <c:pt idx="241">
                  <c:v>-109.82385517233878</c:v>
                </c:pt>
                <c:pt idx="242">
                  <c:v>-109.7404251776356</c:v>
                </c:pt>
                <c:pt idx="243">
                  <c:v>-109.65794085789523</c:v>
                </c:pt>
                <c:pt idx="244">
                  <c:v>-109.57638878222104</c:v>
                </c:pt>
                <c:pt idx="245">
                  <c:v>-109.49397918580189</c:v>
                </c:pt>
                <c:pt idx="246">
                  <c:v>-109.41251598798711</c:v>
                </c:pt>
                <c:pt idx="247">
                  <c:v>-109.33198559967083</c:v>
                </c:pt>
                <c:pt idx="248">
                  <c:v>-109.25237467569906</c:v>
                </c:pt>
                <c:pt idx="249">
                  <c:v>-109.17176170002594</c:v>
                </c:pt>
                <c:pt idx="250">
                  <c:v>-109.09208600096439</c:v>
                </c:pt>
                <c:pt idx="251">
                  <c:v>-109.01333399647578</c:v>
                </c:pt>
                <c:pt idx="252">
                  <c:v>-108.9354923514455</c:v>
                </c:pt>
                <c:pt idx="253">
                  <c:v>-108.85692912183892</c:v>
                </c:pt>
                <c:pt idx="254">
                  <c:v>-108.77928785278858</c:v>
                </c:pt>
                <c:pt idx="255">
                  <c:v>-108.70255510830889</c:v>
                </c:pt>
                <c:pt idx="256">
                  <c:v>-108.62671769886281</c:v>
                </c:pt>
                <c:pt idx="257">
                  <c:v>-108.54983244753777</c:v>
                </c:pt>
                <c:pt idx="258">
                  <c:v>-108.47386217285059</c:v>
                </c:pt>
                <c:pt idx="259">
                  <c:v>-108.39879340771232</c:v>
                </c:pt>
                <c:pt idx="260">
                  <c:v>-108.32461293525709</c:v>
                </c:pt>
                <c:pt idx="261">
                  <c:v>-108.24965182989622</c:v>
                </c:pt>
                <c:pt idx="262">
                  <c:v>-108.17559266778058</c:v>
                </c:pt>
                <c:pt idx="263">
                  <c:v>-108.10242208738022</c:v>
                </c:pt>
                <c:pt idx="264">
                  <c:v>-108.03012697773481</c:v>
                </c:pt>
                <c:pt idx="265">
                  <c:v>-107.95711678431975</c:v>
                </c:pt>
                <c:pt idx="266">
                  <c:v>-107.88499447661999</c:v>
                </c:pt>
                <c:pt idx="267">
                  <c:v>-107.81374682643356</c:v>
                </c:pt>
                <c:pt idx="268">
                  <c:v>-107.74336085568545</c:v>
                </c:pt>
                <c:pt idx="269">
                  <c:v>-107.6721545884467</c:v>
                </c:pt>
                <c:pt idx="270">
                  <c:v>-107.60182535653388</c:v>
                </c:pt>
                <c:pt idx="271">
                  <c:v>-107.53235999824426</c:v>
                </c:pt>
                <c:pt idx="272">
                  <c:v>-107.46374560315823</c:v>
                </c:pt>
                <c:pt idx="273">
                  <c:v>-107.39438103073226</c:v>
                </c:pt>
                <c:pt idx="274">
                  <c:v>-107.3258814446102</c:v>
                </c:pt>
                <c:pt idx="275">
                  <c:v>-107.25823378051095</c:v>
                </c:pt>
                <c:pt idx="276">
                  <c:v>-107.19142522574057</c:v>
                </c:pt>
                <c:pt idx="277">
                  <c:v>-107.1240835824397</c:v>
                </c:pt>
                <c:pt idx="278">
                  <c:v>-107.0575900115881</c:v>
                </c:pt>
                <c:pt idx="279">
                  <c:v>-106.99193166102883</c:v>
                </c:pt>
                <c:pt idx="280">
                  <c:v>-106.92709592746502</c:v>
                </c:pt>
                <c:pt idx="281">
                  <c:v>-106.86134728321687</c:v>
                </c:pt>
                <c:pt idx="282">
                  <c:v>-106.79644025671774</c:v>
                </c:pt>
                <c:pt idx="283">
                  <c:v>-106.73236197480526</c:v>
                </c:pt>
                <c:pt idx="284">
                  <c:v>-106.66909981639201</c:v>
                </c:pt>
                <c:pt idx="285">
                  <c:v>-106.60541398910833</c:v>
                </c:pt>
                <c:pt idx="286">
                  <c:v>-106.54255115597846</c:v>
                </c:pt>
                <c:pt idx="287">
                  <c:v>-106.48049870449798</c:v>
                </c:pt>
                <c:pt idx="288">
                  <c:v>-106.41924427006197</c:v>
                </c:pt>
                <c:pt idx="289">
                  <c:v>-106.35722220685115</c:v>
                </c:pt>
                <c:pt idx="290">
                  <c:v>-106.29601438541916</c:v>
                </c:pt>
                <c:pt idx="291">
                  <c:v>-106.23560823213478</c:v>
                </c:pt>
                <c:pt idx="292">
                  <c:v>-106.17599142280864</c:v>
                </c:pt>
                <c:pt idx="293">
                  <c:v>-106.11580123300628</c:v>
                </c:pt>
                <c:pt idx="294">
                  <c:v>-106.05641196622588</c:v>
                </c:pt>
                <c:pt idx="295">
                  <c:v>-105.99781119641138</c:v>
                </c:pt>
                <c:pt idx="296">
                  <c:v>-105.9399867455723</c:v>
                </c:pt>
                <c:pt idx="297">
                  <c:v>-105.881646582847</c:v>
                </c:pt>
                <c:pt idx="298">
                  <c:v>-105.82409321719706</c:v>
                </c:pt>
                <c:pt idx="299">
                  <c:v>-105.76731439314631</c:v>
                </c:pt>
                <c:pt idx="300">
                  <c:v>-105.71129810121778</c:v>
                </c:pt>
                <c:pt idx="301">
                  <c:v>-105.65482023395235</c:v>
                </c:pt>
                <c:pt idx="302">
                  <c:v>-105.59911434896416</c:v>
                </c:pt>
                <c:pt idx="303">
                  <c:v>-105.54416838180121</c:v>
                </c:pt>
                <c:pt idx="304">
                  <c:v>-105.48997051131386</c:v>
                </c:pt>
                <c:pt idx="305">
                  <c:v>-105.43515328067261</c:v>
                </c:pt>
                <c:pt idx="306">
                  <c:v>-105.38109842465983</c:v>
                </c:pt>
                <c:pt idx="307">
                  <c:v>-105.32779395189915</c:v>
                </c:pt>
                <c:pt idx="308">
                  <c:v>-105.27522811471977</c:v>
                </c:pt>
                <c:pt idx="309">
                  <c:v>-105.22230475711001</c:v>
                </c:pt>
                <c:pt idx="310">
                  <c:v>-105.17012749039141</c:v>
                </c:pt>
                <c:pt idx="311">
                  <c:v>-105.11868455674031</c:v>
                </c:pt>
                <c:pt idx="312">
                  <c:v>-105.06796443804333</c:v>
                </c:pt>
                <c:pt idx="313">
                  <c:v>-105.01674492349586</c:v>
                </c:pt>
                <c:pt idx="314">
                  <c:v>-104.96626019040609</c:v>
                </c:pt>
                <c:pt idx="315">
                  <c:v>-104.91649860134702</c:v>
                </c:pt>
                <c:pt idx="316">
                  <c:v>-104.86744875759973</c:v>
                </c:pt>
                <c:pt idx="317">
                  <c:v>-104.81795676867</c:v>
                </c:pt>
                <c:pt idx="318">
                  <c:v>-104.76918738191074</c:v>
                </c:pt>
                <c:pt idx="319">
                  <c:v>-104.72112910420867</c:v>
                </c:pt>
                <c:pt idx="320">
                  <c:v>-104.67377067944707</c:v>
                </c:pt>
                <c:pt idx="321">
                  <c:v>-104.62602385190847</c:v>
                </c:pt>
                <c:pt idx="322">
                  <c:v>-104.57898669607673</c:v>
                </c:pt>
                <c:pt idx="323">
                  <c:v>-104.53264788452745</c:v>
                </c:pt>
                <c:pt idx="324">
                  <c:v>-104.48699632447264</c:v>
                </c:pt>
                <c:pt idx="325">
                  <c:v>-104.44100676594006</c:v>
                </c:pt>
                <c:pt idx="326">
                  <c:v>-104.39571330941649</c:v>
                </c:pt>
                <c:pt idx="327">
                  <c:v>-104.35110481206171</c:v>
                </c:pt>
                <c:pt idx="328">
                  <c:v>-104.30717036272405</c:v>
                </c:pt>
                <c:pt idx="329">
                  <c:v>-104.26287176939547</c:v>
                </c:pt>
                <c:pt idx="330">
                  <c:v>-104.2192574383875</c:v>
                </c:pt>
                <c:pt idx="331">
                  <c:v>-104.17631637354124</c:v>
                </c:pt>
                <c:pt idx="332">
                  <c:v>-104.13403780842334</c:v>
                </c:pt>
                <c:pt idx="333">
                  <c:v>-104.09151493561401</c:v>
                </c:pt>
                <c:pt idx="334">
                  <c:v>-104.04966161773285</c:v>
                </c:pt>
                <c:pt idx="335">
                  <c:v>-104.00846707761968</c:v>
                </c:pt>
                <c:pt idx="336">
                  <c:v>-103.96792076380513</c:v>
                </c:pt>
                <c:pt idx="337">
                  <c:v>-103.9270421199986</c:v>
                </c:pt>
                <c:pt idx="338">
                  <c:v>-103.88682214766423</c:v>
                </c:pt>
                <c:pt idx="339">
                  <c:v>-103.84725020003964</c:v>
                </c:pt>
                <c:pt idx="340">
                  <c:v>-103.80831585442344</c:v>
                </c:pt>
                <c:pt idx="341">
                  <c:v>-103.7691000735645</c:v>
                </c:pt>
                <c:pt idx="342">
                  <c:v>-103.7305313458901</c:v>
                </c:pt>
                <c:pt idx="343">
                  <c:v>-103.69259917568884</c:v>
                </c:pt>
                <c:pt idx="344">
                  <c:v>-103.65529328905289</c:v>
                </c:pt>
                <c:pt idx="345">
                  <c:v>-103.61781033325568</c:v>
                </c:pt>
                <c:pt idx="346">
                  <c:v>-103.58096026961728</c:v>
                </c:pt>
                <c:pt idx="347">
                  <c:v>-103.54473281831629</c:v>
                </c:pt>
                <c:pt idx="348">
                  <c:v>-103.50911791719697</c:v>
                </c:pt>
                <c:pt idx="349">
                  <c:v>-103.47325920756064</c:v>
                </c:pt>
                <c:pt idx="350">
                  <c:v>-103.4380225934888</c:v>
                </c:pt>
                <c:pt idx="351">
                  <c:v>-103.40339793254125</c:v>
                </c:pt>
                <c:pt idx="352">
                  <c:v>-103.36937529795787</c:v>
                </c:pt>
                <c:pt idx="353">
                  <c:v>-103.33515615350264</c:v>
                </c:pt>
                <c:pt idx="354">
                  <c:v>-103.30154765529547</c:v>
                </c:pt>
                <c:pt idx="355">
                  <c:v>-103.26853981693178</c:v>
                </c:pt>
                <c:pt idx="356">
                  <c:v>-103.23612286512612</c:v>
                </c:pt>
                <c:pt idx="357">
                  <c:v>-103.20359954792383</c:v>
                </c:pt>
                <c:pt idx="358">
                  <c:v>-103.17167318972031</c:v>
                </c:pt>
                <c:pt idx="359">
                  <c:v>-103.14033401782532</c:v>
                </c:pt>
                <c:pt idx="360">
                  <c:v>-103.10957246841585</c:v>
                </c:pt>
                <c:pt idx="361">
                  <c:v>-103.07865600474202</c:v>
                </c:pt>
                <c:pt idx="362">
                  <c:v>-103.04832577904132</c:v>
                </c:pt>
                <c:pt idx="363">
                  <c:v>-103.0185721627232</c:v>
                </c:pt>
                <c:pt idx="364">
                  <c:v>-102.9893857337357</c:v>
                </c:pt>
                <c:pt idx="365">
                  <c:v>-102.96012735100508</c:v>
                </c:pt>
                <c:pt idx="366">
                  <c:v>-102.93144237145495</c:v>
                </c:pt>
                <c:pt idx="367">
                  <c:v>-102.90332136520205</c:v>
                </c:pt>
                <c:pt idx="368">
                  <c:v>-102.87575510496657</c:v>
                </c:pt>
                <c:pt idx="369">
                  <c:v>-102.84808049345281</c:v>
                </c:pt>
                <c:pt idx="370">
                  <c:v>-102.82096911787878</c:v>
                </c:pt>
                <c:pt idx="371">
                  <c:v>-102.79441168422517</c:v>
                </c:pt>
                <c:pt idx="372">
                  <c:v>-102.76839909888643</c:v>
                </c:pt>
                <c:pt idx="373">
                  <c:v>-102.74235416651828</c:v>
                </c:pt>
                <c:pt idx="374">
                  <c:v>-102.71686031591197</c:v>
                </c:pt>
                <c:pt idx="375">
                  <c:v>-102.69190844042129</c:v>
                </c:pt>
                <c:pt idx="376">
                  <c:v>-102.66748963010176</c:v>
                </c:pt>
                <c:pt idx="377">
                  <c:v>-102.64301287452037</c:v>
                </c:pt>
                <c:pt idx="378">
                  <c:v>-102.61907745207252</c:v>
                </c:pt>
                <c:pt idx="379">
                  <c:v>-102.59567438659693</c:v>
                </c:pt>
                <c:pt idx="380">
                  <c:v>-102.57279489650978</c:v>
                </c:pt>
                <c:pt idx="381">
                  <c:v>-102.54995472566689</c:v>
                </c:pt>
                <c:pt idx="382">
                  <c:v>-102.52764298068216</c:v>
                </c:pt>
                <c:pt idx="383">
                  <c:v>-102.50585089655043</c:v>
                </c:pt>
                <c:pt idx="384">
                  <c:v>-102.48456989835127</c:v>
                </c:pt>
                <c:pt idx="385">
                  <c:v>-102.46328295728389</c:v>
                </c:pt>
                <c:pt idx="386">
                  <c:v>-102.44251510542747</c:v>
                </c:pt>
                <c:pt idx="387">
                  <c:v>-102.4222577028826</c:v>
                </c:pt>
                <c:pt idx="388">
                  <c:v>-102.40250229777705</c:v>
                </c:pt>
                <c:pt idx="389">
                  <c:v>-102.3828038292345</c:v>
                </c:pt>
                <c:pt idx="390">
                  <c:v>-102.36361337779546</c:v>
                </c:pt>
                <c:pt idx="391">
                  <c:v>-102.34492247399081</c:v>
                </c:pt>
                <c:pt idx="392">
                  <c:v>-102.32672283297056</c:v>
                </c:pt>
                <c:pt idx="393">
                  <c:v>-102.30861394728535</c:v>
                </c:pt>
                <c:pt idx="394">
                  <c:v>-102.291001690993</c:v>
                </c:pt>
                <c:pt idx="395">
                  <c:v>-102.27387777528962</c:v>
                </c:pt>
                <c:pt idx="396">
                  <c:v>-102.25723409224089</c:v>
                </c:pt>
                <c:pt idx="397">
                  <c:v>-102.24067591674152</c:v>
                </c:pt>
                <c:pt idx="398">
                  <c:v>-102.22460491605553</c:v>
                </c:pt>
                <c:pt idx="399">
                  <c:v>-102.2090129360393</c:v>
                </c:pt>
                <c:pt idx="400">
                  <c:v>-102.1938920009617</c:v>
                </c:pt>
                <c:pt idx="401">
                  <c:v>-102.17890872205801</c:v>
                </c:pt>
                <c:pt idx="402">
                  <c:v>-102.16440167666968</c:v>
                </c:pt>
                <c:pt idx="403">
                  <c:v>-102.15036288455406</c:v>
                </c:pt>
                <c:pt idx="404">
                  <c:v>-102.13678454024371</c:v>
                </c:pt>
                <c:pt idx="405">
                  <c:v>-102.12336008354484</c:v>
                </c:pt>
                <c:pt idx="406">
                  <c:v>-102.11040167497302</c:v>
                </c:pt>
                <c:pt idx="407">
                  <c:v>-102.09790149140358</c:v>
                </c:pt>
                <c:pt idx="408">
                  <c:v>-102.08585188129747</c:v>
                </c:pt>
                <c:pt idx="409">
                  <c:v>-102.07397523088478</c:v>
                </c:pt>
                <c:pt idx="410">
                  <c:v>-102.06255509681353</c:v>
                </c:pt>
                <c:pt idx="411">
                  <c:v>-102.05158379865269</c:v>
                </c:pt>
                <c:pt idx="412">
                  <c:v>-102.04105382474913</c:v>
                </c:pt>
                <c:pt idx="413">
                  <c:v>-102.03072886834516</c:v>
                </c:pt>
                <c:pt idx="414">
                  <c:v>-102.02085054644166</c:v>
                </c:pt>
                <c:pt idx="415">
                  <c:v>-102.01141133198217</c:v>
                </c:pt>
                <c:pt idx="416">
                  <c:v>-102.00240386353124</c:v>
                </c:pt>
                <c:pt idx="417">
                  <c:v>-101.99362272703391</c:v>
                </c:pt>
                <c:pt idx="418">
                  <c:v>-101.98527893333751</c:v>
                </c:pt>
                <c:pt idx="419">
                  <c:v>-101.97736509573726</c:v>
                </c:pt>
                <c:pt idx="420">
                  <c:v>-101.96987399033692</c:v>
                </c:pt>
                <c:pt idx="421">
                  <c:v>-101.96264660112615</c:v>
                </c:pt>
                <c:pt idx="422">
                  <c:v>-101.95584610371296</c:v>
                </c:pt>
                <c:pt idx="423">
                  <c:v>-101.94946528280722</c:v>
                </c:pt>
                <c:pt idx="424">
                  <c:v>-101.94349708216853</c:v>
                </c:pt>
                <c:pt idx="425">
                  <c:v>-101.93780278487603</c:v>
                </c:pt>
                <c:pt idx="426">
                  <c:v>-101.93252715930122</c:v>
                </c:pt>
                <c:pt idx="427">
                  <c:v>-101.92766310693918</c:v>
                </c:pt>
                <c:pt idx="428">
                  <c:v>-101.92320368614187</c:v>
                </c:pt>
                <c:pt idx="429">
                  <c:v>-101.91905310784908</c:v>
                </c:pt>
                <c:pt idx="430">
                  <c:v>-101.91531181956658</c:v>
                </c:pt>
                <c:pt idx="431">
                  <c:v>-101.91197287051349</c:v>
                </c:pt>
                <c:pt idx="432">
                  <c:v>-101.90902946363185</c:v>
                </c:pt>
                <c:pt idx="433">
                  <c:v>-101.90642181478299</c:v>
                </c:pt>
                <c:pt idx="434">
                  <c:v>-101.90421383630898</c:v>
                </c:pt>
                <c:pt idx="435">
                  <c:v>-101.9023987328335</c:v>
                </c:pt>
                <c:pt idx="436">
                  <c:v>-101.900969859309</c:v>
                </c:pt>
                <c:pt idx="437">
                  <c:v>-101.89990025709284</c:v>
                </c:pt>
                <c:pt idx="438">
                  <c:v>-101.89922191418874</c:v>
                </c:pt>
                <c:pt idx="439">
                  <c:v>-101.89892816145225</c:v>
                </c:pt>
                <c:pt idx="440">
                  <c:v>-101.89901247749816</c:v>
                </c:pt>
                <c:pt idx="441">
                  <c:v>-101.89948350219802</c:v>
                </c:pt>
                <c:pt idx="442">
                  <c:v>-101.90033707230714</c:v>
                </c:pt>
                <c:pt idx="443">
                  <c:v>-101.90156665399594</c:v>
                </c:pt>
                <c:pt idx="444">
                  <c:v>-101.90316585832615</c:v>
                </c:pt>
                <c:pt idx="445">
                  <c:v>-101.90517734478865</c:v>
                </c:pt>
                <c:pt idx="446">
                  <c:v>-101.90756241884459</c:v>
                </c:pt>
                <c:pt idx="447">
                  <c:v>-101.91031468959363</c:v>
                </c:pt>
                <c:pt idx="448">
                  <c:v>-101.91342790790269</c:v>
                </c:pt>
                <c:pt idx="449">
                  <c:v>-101.91698348118845</c:v>
                </c:pt>
                <c:pt idx="450">
                  <c:v>-101.92090470674142</c:v>
                </c:pt>
                <c:pt idx="451">
                  <c:v>-101.92518531174176</c:v>
                </c:pt>
                <c:pt idx="452">
                  <c:v>-101.92981916271502</c:v>
                </c:pt>
                <c:pt idx="453">
                  <c:v>-101.93491677093118</c:v>
                </c:pt>
                <c:pt idx="454">
                  <c:v>-101.94037122516593</c:v>
                </c:pt>
                <c:pt idx="455">
                  <c:v>-101.94617639418915</c:v>
                </c:pt>
                <c:pt idx="456">
                  <c:v>-101.95232628297036</c:v>
                </c:pt>
                <c:pt idx="457">
                  <c:v>-101.95897308615477</c:v>
                </c:pt>
                <c:pt idx="458">
                  <c:v>-101.96596887095838</c:v>
                </c:pt>
                <c:pt idx="459">
                  <c:v>-101.97330762473834</c:v>
                </c:pt>
                <c:pt idx="460">
                  <c:v>-101.98098346855555</c:v>
                </c:pt>
                <c:pt idx="461">
                  <c:v>-101.98918015597698</c:v>
                </c:pt>
                <c:pt idx="462">
                  <c:v>-101.99771770390115</c:v>
                </c:pt>
                <c:pt idx="463">
                  <c:v>-102.00659022591221</c:v>
                </c:pt>
                <c:pt idx="464">
                  <c:v>-102.01579196654826</c:v>
                </c:pt>
                <c:pt idx="465">
                  <c:v>-102.02554438381392</c:v>
                </c:pt>
                <c:pt idx="466">
                  <c:v>-102.03562983919315</c:v>
                </c:pt>
                <c:pt idx="467">
                  <c:v>-102.04604256578477</c:v>
                </c:pt>
                <c:pt idx="468">
                  <c:v>-102.05677692506204</c:v>
                </c:pt>
                <c:pt idx="469">
                  <c:v>-102.06808412746422</c:v>
                </c:pt>
                <c:pt idx="470">
                  <c:v>-102.07971632396232</c:v>
                </c:pt>
                <c:pt idx="471">
                  <c:v>-102.09166787383262</c:v>
                </c:pt>
                <c:pt idx="472">
                  <c:v>-102.10393326192209</c:v>
                </c:pt>
                <c:pt idx="473">
                  <c:v>-102.11681109295631</c:v>
                </c:pt>
                <c:pt idx="474">
                  <c:v>-102.13000661744748</c:v>
                </c:pt>
                <c:pt idx="475">
                  <c:v>-102.14351430240657</c:v>
                </c:pt>
                <c:pt idx="476">
                  <c:v>-102.15732873813009</c:v>
                </c:pt>
                <c:pt idx="477">
                  <c:v>-102.17177742423335</c:v>
                </c:pt>
                <c:pt idx="478">
                  <c:v>-102.18653625570163</c:v>
                </c:pt>
                <c:pt idx="479">
                  <c:v>-102.20159981441614</c:v>
                </c:pt>
                <c:pt idx="480">
                  <c:v>-102.21696280302199</c:v>
                </c:pt>
                <c:pt idx="481">
                  <c:v>-102.23298029138928</c:v>
                </c:pt>
                <c:pt idx="482">
                  <c:v>-102.24930017736772</c:v>
                </c:pt>
                <c:pt idx="483">
                  <c:v>-102.26591716363508</c:v>
                </c:pt>
                <c:pt idx="484">
                  <c:v>-102.28282607091018</c:v>
                </c:pt>
                <c:pt idx="485">
                  <c:v>-102.3004203342752</c:v>
                </c:pt>
                <c:pt idx="486">
                  <c:v>-102.31830948932416</c:v>
                </c:pt>
                <c:pt idx="487">
                  <c:v>-102.33648835387574</c:v>
                </c:pt>
                <c:pt idx="488">
                  <c:v>-102.354951861209</c:v>
                </c:pt>
                <c:pt idx="489">
                  <c:v>-102.3741449983997</c:v>
                </c:pt>
                <c:pt idx="490">
                  <c:v>-102.39362611208402</c:v>
                </c:pt>
                <c:pt idx="491">
                  <c:v>-102.41339012021487</c:v>
                </c:pt>
                <c:pt idx="492">
                  <c:v>-102.43343205404544</c:v>
                </c:pt>
                <c:pt idx="493">
                  <c:v>-102.4542230238726</c:v>
                </c:pt>
                <c:pt idx="494">
                  <c:v>-102.47529482866436</c:v>
                </c:pt>
                <c:pt idx="495">
                  <c:v>-102.4966424928454</c:v>
                </c:pt>
                <c:pt idx="496">
                  <c:v>-102.51826115176915</c:v>
                </c:pt>
                <c:pt idx="497">
                  <c:v>-102.54066112501829</c:v>
                </c:pt>
                <c:pt idx="498">
                  <c:v>-102.56333495307609</c:v>
                </c:pt>
                <c:pt idx="499">
                  <c:v>-102.58627776290568</c:v>
                </c:pt>
                <c:pt idx="500">
                  <c:v>-102.6094847901209</c:v>
                </c:pt>
                <c:pt idx="501">
                  <c:v>-102.63350573774812</c:v>
                </c:pt>
                <c:pt idx="502">
                  <c:v>-102.65779369930851</c:v>
                </c:pt>
                <c:pt idx="503">
                  <c:v>-102.6823439008264</c:v>
                </c:pt>
                <c:pt idx="504">
                  <c:v>-102.70715167478029</c:v>
                </c:pt>
                <c:pt idx="505">
                  <c:v>-102.73279060835871</c:v>
                </c:pt>
                <c:pt idx="506">
                  <c:v>-102.75868952190584</c:v>
                </c:pt>
                <c:pt idx="507">
                  <c:v>-102.78484374583552</c:v>
                </c:pt>
                <c:pt idx="508">
                  <c:v>-102.81124871463926</c:v>
                </c:pt>
                <c:pt idx="509">
                  <c:v>-102.83851699072908</c:v>
                </c:pt>
                <c:pt idx="510">
                  <c:v>-102.86603835563987</c:v>
                </c:pt>
                <c:pt idx="511">
                  <c:v>-102.89380824047875</c:v>
                </c:pt>
                <c:pt idx="512">
                  <c:v>-102.92182217814265</c:v>
                </c:pt>
                <c:pt idx="513">
                  <c:v>-102.95074858822841</c:v>
                </c:pt>
                <c:pt idx="514">
                  <c:v>-102.97992160245518</c:v>
                </c:pt>
                <c:pt idx="515">
                  <c:v>-103.00933674162522</c:v>
                </c:pt>
                <c:pt idx="516">
                  <c:v>-103.0389896263476</c:v>
                </c:pt>
                <c:pt idx="517">
                  <c:v>-103.0695709211106</c:v>
                </c:pt>
                <c:pt idx="518">
                  <c:v>-103.10039213473407</c:v>
                </c:pt>
                <c:pt idx="519">
                  <c:v>-103.13144888299135</c:v>
                </c:pt>
                <c:pt idx="520">
                  <c:v>-103.1627368793047</c:v>
                </c:pt>
                <c:pt idx="521">
                  <c:v>-103.19498584346326</c:v>
                </c:pt>
                <c:pt idx="522">
                  <c:v>-103.22746813323282</c:v>
                </c:pt>
                <c:pt idx="523">
                  <c:v>-103.26017945665123</c:v>
                </c:pt>
                <c:pt idx="524">
                  <c:v>-103.2931156173082</c:v>
                </c:pt>
                <c:pt idx="525">
                  <c:v>-103.32704534032017</c:v>
                </c:pt>
                <c:pt idx="526">
                  <c:v>-103.36120187351209</c:v>
                </c:pt>
                <c:pt idx="527">
                  <c:v>-103.39558101474266</c:v>
                </c:pt>
                <c:pt idx="528">
                  <c:v>-103.43017865537979</c:v>
                </c:pt>
                <c:pt idx="529">
                  <c:v>-103.46580244319807</c:v>
                </c:pt>
                <c:pt idx="530">
                  <c:v>-103.50164659073745</c:v>
                </c:pt>
                <c:pt idx="531">
                  <c:v>-103.53770698346352</c:v>
                </c:pt>
                <c:pt idx="532">
                  <c:v>-103.57397959835745</c:v>
                </c:pt>
                <c:pt idx="533">
                  <c:v>-103.61133022054692</c:v>
                </c:pt>
                <c:pt idx="534">
                  <c:v>-103.64889502422672</c:v>
                </c:pt>
                <c:pt idx="535">
                  <c:v>-103.68666997428367</c:v>
                </c:pt>
                <c:pt idx="536">
                  <c:v>-103.72465112535227</c:v>
                </c:pt>
                <c:pt idx="537">
                  <c:v>-103.76370384985498</c:v>
                </c:pt>
                <c:pt idx="538">
                  <c:v>-103.80296417461877</c:v>
                </c:pt>
                <c:pt idx="539">
                  <c:v>-103.84242815463976</c:v>
                </c:pt>
                <c:pt idx="540">
                  <c:v>-103.88209193256307</c:v>
                </c:pt>
                <c:pt idx="541">
                  <c:v>-103.92289929750214</c:v>
                </c:pt>
                <c:pt idx="542">
                  <c:v>-103.96390813864173</c:v>
                </c:pt>
                <c:pt idx="543">
                  <c:v>-104.00511458738968</c:v>
                </c:pt>
                <c:pt idx="544">
                  <c:v>-104.04651486109465</c:v>
                </c:pt>
                <c:pt idx="545">
                  <c:v>-104.0890708896554</c:v>
                </c:pt>
                <c:pt idx="546">
                  <c:v>-104.13182208042977</c:v>
                </c:pt>
                <c:pt idx="547">
                  <c:v>-104.1747646457473</c:v>
                </c:pt>
                <c:pt idx="548">
                  <c:v>-104.21789488202486</c:v>
                </c:pt>
                <c:pt idx="549">
                  <c:v>-104.26221280231428</c:v>
                </c:pt>
                <c:pt idx="550">
                  <c:v>-104.30671958854087</c:v>
                </c:pt>
                <c:pt idx="551">
                  <c:v>-104.35141153249802</c:v>
                </c:pt>
                <c:pt idx="552">
                  <c:v>-104.39628500824421</c:v>
                </c:pt>
                <c:pt idx="553">
                  <c:v>-104.44239911919385</c:v>
                </c:pt>
                <c:pt idx="554">
                  <c:v>-104.48869597667122</c:v>
                </c:pt>
                <c:pt idx="555">
                  <c:v>-104.53517194562232</c:v>
                </c:pt>
                <c:pt idx="556">
                  <c:v>-104.58182347161153</c:v>
                </c:pt>
                <c:pt idx="557">
                  <c:v>-104.67784824337092</c:v>
                </c:pt>
                <c:pt idx="558">
                  <c:v>-104.77456526716382</c:v>
                </c:pt>
                <c:pt idx="559">
                  <c:v>-104.87418667868801</c:v>
                </c:pt>
                <c:pt idx="560">
                  <c:v>-104.97447538896574</c:v>
                </c:pt>
                <c:pt idx="561">
                  <c:v>-105.07780661019393</c:v>
                </c:pt>
                <c:pt idx="562">
                  <c:v>-105.1817812298205</c:v>
                </c:pt>
                <c:pt idx="563">
                  <c:v>-105.2886238130931</c:v>
                </c:pt>
                <c:pt idx="564">
                  <c:v>-105.39608313241023</c:v>
                </c:pt>
                <c:pt idx="565">
                  <c:v>-105.5068647752349</c:v>
                </c:pt>
                <c:pt idx="566">
                  <c:v>-105.61824097029915</c:v>
                </c:pt>
                <c:pt idx="567">
                  <c:v>-105.7329460247563</c:v>
                </c:pt>
                <c:pt idx="568">
                  <c:v>-105.84822243188225</c:v>
                </c:pt>
                <c:pt idx="569">
                  <c:v>-105.96636706910392</c:v>
                </c:pt>
                <c:pt idx="570">
                  <c:v>-106.08505479746792</c:v>
                </c:pt>
                <c:pt idx="571">
                  <c:v>-106.20754080307286</c:v>
                </c:pt>
                <c:pt idx="572">
                  <c:v>-106.33054939236584</c:v>
                </c:pt>
                <c:pt idx="573">
                  <c:v>-106.45641822738837</c:v>
                </c:pt>
                <c:pt idx="574">
                  <c:v>-106.5827804920083</c:v>
                </c:pt>
                <c:pt idx="575">
                  <c:v>-106.71294423910273</c:v>
                </c:pt>
                <c:pt idx="576">
                  <c:v>-106.84357909614246</c:v>
                </c:pt>
                <c:pt idx="577">
                  <c:v>-107.4013400483507</c:v>
                </c:pt>
                <c:pt idx="578">
                  <c:v>-107.96559667066927</c:v>
                </c:pt>
                <c:pt idx="579">
                  <c:v>-109.21874439480277</c:v>
                </c:pt>
                <c:pt idx="580">
                  <c:v>-110.6107325671472</c:v>
                </c:pt>
                <c:pt idx="581">
                  <c:v>-112.14545039733295</c:v>
                </c:pt>
                <c:pt idx="582">
                  <c:v>-113.82983126686639</c:v>
                </c:pt>
                <c:pt idx="583">
                  <c:v>-115.66887639563346</c:v>
                </c:pt>
                <c:pt idx="584">
                  <c:v>-117.67080353698088</c:v>
                </c:pt>
                <c:pt idx="585">
                  <c:v>-119.84238234533076</c:v>
                </c:pt>
                <c:pt idx="586">
                  <c:v>-122.19351834579345</c:v>
                </c:pt>
                <c:pt idx="587">
                  <c:v>-124.73808122883352</c:v>
                </c:pt>
                <c:pt idx="588">
                  <c:v>-127.49038677136966</c:v>
                </c:pt>
                <c:pt idx="589">
                  <c:v>-130.47535848782942</c:v>
                </c:pt>
                <c:pt idx="590">
                  <c:v>-133.72270532907871</c:v>
                </c:pt>
                <c:pt idx="591">
                  <c:v>-137.27338558703826</c:v>
                </c:pt>
                <c:pt idx="592">
                  <c:v>-141.17892441001433</c:v>
                </c:pt>
                <c:pt idx="593">
                  <c:v>-145.50400061033321</c:v>
                </c:pt>
                <c:pt idx="594">
                  <c:v>-150.31974586199328</c:v>
                </c:pt>
                <c:pt idx="595">
                  <c:v>-155.70067595750717</c:v>
                </c:pt>
                <c:pt idx="596">
                  <c:v>-161.70600489890617</c:v>
                </c:pt>
                <c:pt idx="597">
                  <c:v>-168.36113045059102</c:v>
                </c:pt>
                <c:pt idx="598">
                  <c:v>-175.62338163478537</c:v>
                </c:pt>
                <c:pt idx="599">
                  <c:v>-183.36376238816592</c:v>
                </c:pt>
                <c:pt idx="600">
                  <c:v>0</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333333.33333333337</c:v>
                </c:pt>
              </c:numCache>
            </c:numRef>
          </c:xVal>
          <c:yVal>
            <c:numRef>
              <c:f>'Stability Calculations'!$Q$627</c:f>
              <c:numCache>
                <c:formatCode>0.00</c:formatCode>
                <c:ptCount val="1"/>
                <c:pt idx="0">
                  <c:v>-16.339846959562671</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101.92043912173078</c:v>
                </c:pt>
                <c:pt idx="1">
                  <c:v>101.90522089016736</c:v>
                </c:pt>
                <c:pt idx="2">
                  <c:v>101.88699629865489</c:v>
                </c:pt>
                <c:pt idx="3">
                  <c:v>101.86518746335217</c:v>
                </c:pt>
                <c:pt idx="4">
                  <c:v>101.83913101367048</c:v>
                </c:pt>
                <c:pt idx="5">
                  <c:v>101.80797944021974</c:v>
                </c:pt>
                <c:pt idx="6">
                  <c:v>101.7708339595352</c:v>
                </c:pt>
                <c:pt idx="7">
                  <c:v>101.72657841285989</c:v>
                </c:pt>
                <c:pt idx="8">
                  <c:v>101.67398388817435</c:v>
                </c:pt>
                <c:pt idx="9">
                  <c:v>101.61156201168563</c:v>
                </c:pt>
                <c:pt idx="10">
                  <c:v>101.53769874564118</c:v>
                </c:pt>
                <c:pt idx="11">
                  <c:v>101.45053477590261</c:v>
                </c:pt>
                <c:pt idx="12">
                  <c:v>101.34795570854557</c:v>
                </c:pt>
                <c:pt idx="13">
                  <c:v>101.22780836590263</c:v>
                </c:pt>
                <c:pt idx="14">
                  <c:v>101.08758204333945</c:v>
                </c:pt>
                <c:pt idx="15">
                  <c:v>100.92478143907374</c:v>
                </c:pt>
                <c:pt idx="16">
                  <c:v>100.73679404694553</c:v>
                </c:pt>
                <c:pt idx="17">
                  <c:v>100.52107401716684</c:v>
                </c:pt>
                <c:pt idx="18">
                  <c:v>100.27510366243577</c:v>
                </c:pt>
                <c:pt idx="19">
                  <c:v>99.996728744861656</c:v>
                </c:pt>
                <c:pt idx="20">
                  <c:v>99.684026752080712</c:v>
                </c:pt>
                <c:pt idx="21">
                  <c:v>99.335652110879678</c:v>
                </c:pt>
                <c:pt idx="22">
                  <c:v>98.950664033020246</c:v>
                </c:pt>
                <c:pt idx="23">
                  <c:v>98.528892364288254</c:v>
                </c:pt>
                <c:pt idx="24">
                  <c:v>98.070579751795037</c:v>
                </c:pt>
                <c:pt idx="25">
                  <c:v>97.576733326598458</c:v>
                </c:pt>
                <c:pt idx="26">
                  <c:v>97.048700578897765</c:v>
                </c:pt>
                <c:pt idx="27">
                  <c:v>96.488555441416423</c:v>
                </c:pt>
                <c:pt idx="28">
                  <c:v>95.898524211874445</c:v>
                </c:pt>
                <c:pt idx="29">
                  <c:v>95.281456470029752</c:v>
                </c:pt>
                <c:pt idx="30">
                  <c:v>94.638849471609319</c:v>
                </c:pt>
                <c:pt idx="31">
                  <c:v>93.974134603459248</c:v>
                </c:pt>
                <c:pt idx="32">
                  <c:v>93.289343915381622</c:v>
                </c:pt>
                <c:pt idx="33">
                  <c:v>92.587307451752196</c:v>
                </c:pt>
                <c:pt idx="34">
                  <c:v>91.869642203345578</c:v>
                </c:pt>
                <c:pt idx="35">
                  <c:v>91.138696249650636</c:v>
                </c:pt>
                <c:pt idx="36">
                  <c:v>90.396088988442074</c:v>
                </c:pt>
                <c:pt idx="37">
                  <c:v>89.642916394190522</c:v>
                </c:pt>
                <c:pt idx="38">
                  <c:v>88.881178919543913</c:v>
                </c:pt>
                <c:pt idx="39">
                  <c:v>88.111337955096459</c:v>
                </c:pt>
                <c:pt idx="40">
                  <c:v>87.334554641059526</c:v>
                </c:pt>
                <c:pt idx="41">
                  <c:v>86.551446837303914</c:v>
                </c:pt>
                <c:pt idx="42">
                  <c:v>85.762628783401155</c:v>
                </c:pt>
                <c:pt idx="43">
                  <c:v>84.968203296592009</c:v>
                </c:pt>
                <c:pt idx="44">
                  <c:v>84.168551673284909</c:v>
                </c:pt>
                <c:pt idx="45">
                  <c:v>83.363522092840512</c:v>
                </c:pt>
                <c:pt idx="46">
                  <c:v>82.553125840169997</c:v>
                </c:pt>
                <c:pt idx="47">
                  <c:v>81.736873501752925</c:v>
                </c:pt>
                <c:pt idx="48">
                  <c:v>80.914482331302381</c:v>
                </c:pt>
                <c:pt idx="49">
                  <c:v>80.0850814174389</c:v>
                </c:pt>
                <c:pt idx="50">
                  <c:v>79.247949821618647</c:v>
                </c:pt>
                <c:pt idx="51">
                  <c:v>78.401844111086263</c:v>
                </c:pt>
                <c:pt idx="52">
                  <c:v>77.54577770487613</c:v>
                </c:pt>
                <c:pt idx="53">
                  <c:v>76.678248357420728</c:v>
                </c:pt>
                <c:pt idx="54">
                  <c:v>75.79811685487725</c:v>
                </c:pt>
                <c:pt idx="55">
                  <c:v>74.901975673697081</c:v>
                </c:pt>
                <c:pt idx="56">
                  <c:v>73.988942729459126</c:v>
                </c:pt>
                <c:pt idx="57">
                  <c:v>73.056097350171825</c:v>
                </c:pt>
                <c:pt idx="58">
                  <c:v>72.101665122873456</c:v>
                </c:pt>
                <c:pt idx="59">
                  <c:v>71.122388432801031</c:v>
                </c:pt>
                <c:pt idx="60">
                  <c:v>70.116290264351832</c:v>
                </c:pt>
                <c:pt idx="61">
                  <c:v>69.080803475096701</c:v>
                </c:pt>
                <c:pt idx="62">
                  <c:v>68.013136397036064</c:v>
                </c:pt>
                <c:pt idx="63">
                  <c:v>66.91241893039971</c:v>
                </c:pt>
                <c:pt idx="64">
                  <c:v>65.776324630900945</c:v>
                </c:pt>
                <c:pt idx="65">
                  <c:v>64.604357420480881</c:v>
                </c:pt>
                <c:pt idx="66">
                  <c:v>63.396109318905431</c:v>
                </c:pt>
                <c:pt idx="67">
                  <c:v>62.152076357240219</c:v>
                </c:pt>
                <c:pt idx="68">
                  <c:v>60.872838393323043</c:v>
                </c:pt>
                <c:pt idx="69">
                  <c:v>59.560256016461324</c:v>
                </c:pt>
                <c:pt idx="70">
                  <c:v>58.216086121151925</c:v>
                </c:pt>
                <c:pt idx="71">
                  <c:v>56.843019858307272</c:v>
                </c:pt>
                <c:pt idx="72">
                  <c:v>55.443471846633344</c:v>
                </c:pt>
                <c:pt idx="73">
                  <c:v>54.020683889195588</c:v>
                </c:pt>
                <c:pt idx="74">
                  <c:v>52.57728430298264</c:v>
                </c:pt>
                <c:pt idx="75">
                  <c:v>51.116504938421031</c:v>
                </c:pt>
                <c:pt idx="76">
                  <c:v>49.640981779037944</c:v>
                </c:pt>
                <c:pt idx="77">
                  <c:v>48.154099956694161</c:v>
                </c:pt>
                <c:pt idx="78">
                  <c:v>46.65864571125109</c:v>
                </c:pt>
                <c:pt idx="79">
                  <c:v>45.158322270209432</c:v>
                </c:pt>
                <c:pt idx="80">
                  <c:v>43.65330045347298</c:v>
                </c:pt>
                <c:pt idx="81">
                  <c:v>42.148357257991634</c:v>
                </c:pt>
                <c:pt idx="82">
                  <c:v>40.64514510771555</c:v>
                </c:pt>
                <c:pt idx="83">
                  <c:v>39.147429988310869</c:v>
                </c:pt>
                <c:pt idx="84">
                  <c:v>37.656802509518101</c:v>
                </c:pt>
                <c:pt idx="85">
                  <c:v>36.176917401759844</c:v>
                </c:pt>
                <c:pt idx="86">
                  <c:v>34.71043446130065</c:v>
                </c:pt>
                <c:pt idx="87">
                  <c:v>33.259535511138878</c:v>
                </c:pt>
                <c:pt idx="88">
                  <c:v>31.828609867567014</c:v>
                </c:pt>
                <c:pt idx="89">
                  <c:v>30.419509886373337</c:v>
                </c:pt>
                <c:pt idx="90">
                  <c:v>29.035721585996171</c:v>
                </c:pt>
                <c:pt idx="91">
                  <c:v>27.679917642533432</c:v>
                </c:pt>
                <c:pt idx="92">
                  <c:v>26.354820942399158</c:v>
                </c:pt>
                <c:pt idx="93">
                  <c:v>25.062224787869809</c:v>
                </c:pt>
                <c:pt idx="94">
                  <c:v>24.744530154143259</c:v>
                </c:pt>
                <c:pt idx="95">
                  <c:v>24.58552036264317</c:v>
                </c:pt>
                <c:pt idx="96">
                  <c:v>24.428874384529315</c:v>
                </c:pt>
                <c:pt idx="97">
                  <c:v>24.270983968746577</c:v>
                </c:pt>
                <c:pt idx="98">
                  <c:v>24.115448787136529</c:v>
                </c:pt>
                <c:pt idx="99">
                  <c:v>23.958646968261132</c:v>
                </c:pt>
                <c:pt idx="100">
                  <c:v>23.804192296375032</c:v>
                </c:pt>
                <c:pt idx="101">
                  <c:v>23.648568812977505</c:v>
                </c:pt>
                <c:pt idx="102">
                  <c:v>23.495281262741514</c:v>
                </c:pt>
                <c:pt idx="103">
                  <c:v>23.340693157236117</c:v>
                </c:pt>
                <c:pt idx="104">
                  <c:v>23.188433549763921</c:v>
                </c:pt>
                <c:pt idx="105">
                  <c:v>23.034972913648915</c:v>
                </c:pt>
                <c:pt idx="106">
                  <c:v>22.883830084774193</c:v>
                </c:pt>
                <c:pt idx="107">
                  <c:v>22.731579645261192</c:v>
                </c:pt>
                <c:pt idx="108">
                  <c:v>22.58163328496963</c:v>
                </c:pt>
                <c:pt idx="109">
                  <c:v>22.430564786890031</c:v>
                </c:pt>
                <c:pt idx="110">
                  <c:v>22.281786899059703</c:v>
                </c:pt>
                <c:pt idx="111">
                  <c:v>22.131776906596915</c:v>
                </c:pt>
                <c:pt idx="112">
                  <c:v>21.98404717809985</c:v>
                </c:pt>
                <c:pt idx="113">
                  <c:v>21.835179528555614</c:v>
                </c:pt>
                <c:pt idx="114">
                  <c:v>21.688578657276096</c:v>
                </c:pt>
                <c:pt idx="115">
                  <c:v>21.54083491571205</c:v>
                </c:pt>
                <c:pt idx="116">
                  <c:v>21.395344384502661</c:v>
                </c:pt>
                <c:pt idx="117">
                  <c:v>21.248708667859468</c:v>
                </c:pt>
                <c:pt idx="118">
                  <c:v>21.104312420836784</c:v>
                </c:pt>
                <c:pt idx="119">
                  <c:v>20.958858565842604</c:v>
                </c:pt>
                <c:pt idx="120">
                  <c:v>20.815627526804761</c:v>
                </c:pt>
                <c:pt idx="121">
                  <c:v>20.671335739832237</c:v>
                </c:pt>
                <c:pt idx="122">
                  <c:v>20.529250023629189</c:v>
                </c:pt>
                <c:pt idx="123">
                  <c:v>20.386020246882918</c:v>
                </c:pt>
                <c:pt idx="124">
                  <c:v>20.244982140470711</c:v>
                </c:pt>
                <c:pt idx="125">
                  <c:v>20.10288563649685</c:v>
                </c:pt>
                <c:pt idx="126">
                  <c:v>19.962963540781349</c:v>
                </c:pt>
                <c:pt idx="127">
                  <c:v>19.821985522879679</c:v>
                </c:pt>
                <c:pt idx="128">
                  <c:v>19.683164393739261</c:v>
                </c:pt>
                <c:pt idx="129">
                  <c:v>19.543291305028635</c:v>
                </c:pt>
                <c:pt idx="130">
                  <c:v>19.405557290525579</c:v>
                </c:pt>
                <c:pt idx="131">
                  <c:v>19.266776583459059</c:v>
                </c:pt>
                <c:pt idx="132">
                  <c:v>19.198185182481843</c:v>
                </c:pt>
                <c:pt idx="133">
                  <c:v>19.13011681213694</c:v>
                </c:pt>
                <c:pt idx="134">
                  <c:v>19.060964812477767</c:v>
                </c:pt>
                <c:pt idx="135">
                  <c:v>18.99234620955416</c:v>
                </c:pt>
                <c:pt idx="136">
                  <c:v>18.924253722018129</c:v>
                </c:pt>
                <c:pt idx="137">
                  <c:v>18.856680201467768</c:v>
                </c:pt>
                <c:pt idx="138">
                  <c:v>18.788101965085193</c:v>
                </c:pt>
                <c:pt idx="139">
                  <c:v>18.720051818093356</c:v>
                </c:pt>
                <c:pt idx="140">
                  <c:v>18.652522526429504</c:v>
                </c:pt>
                <c:pt idx="141">
                  <c:v>18.585506988849481</c:v>
                </c:pt>
                <c:pt idx="142">
                  <c:v>18.517427178827589</c:v>
                </c:pt>
                <c:pt idx="143">
                  <c:v>18.449871130644297</c:v>
                </c:pt>
                <c:pt idx="144">
                  <c:v>18.382831639085161</c:v>
                </c:pt>
                <c:pt idx="145">
                  <c:v>18.316301632079842</c:v>
                </c:pt>
                <c:pt idx="146">
                  <c:v>18.248750600167622</c:v>
                </c:pt>
                <c:pt idx="147">
                  <c:v>18.181718365153177</c:v>
                </c:pt>
                <c:pt idx="148">
                  <c:v>18.115197765443167</c:v>
                </c:pt>
                <c:pt idx="149">
                  <c:v>18.049181772551929</c:v>
                </c:pt>
                <c:pt idx="150">
                  <c:v>17.982154447083108</c:v>
                </c:pt>
                <c:pt idx="151">
                  <c:v>17.915640861687034</c:v>
                </c:pt>
                <c:pt idx="152">
                  <c:v>17.849633902109293</c:v>
                </c:pt>
                <c:pt idx="153">
                  <c:v>17.78412658706992</c:v>
                </c:pt>
                <c:pt idx="154">
                  <c:v>17.717587473491886</c:v>
                </c:pt>
                <c:pt idx="155">
                  <c:v>17.651557418946876</c:v>
                </c:pt>
                <c:pt idx="156">
                  <c:v>17.586029350604775</c:v>
                </c:pt>
                <c:pt idx="157">
                  <c:v>17.52099632861658</c:v>
                </c:pt>
                <c:pt idx="158">
                  <c:v>17.454943189720602</c:v>
                </c:pt>
                <c:pt idx="159">
                  <c:v>17.389394300727094</c:v>
                </c:pt>
                <c:pt idx="160">
                  <c:v>17.324342634788557</c:v>
                </c:pt>
                <c:pt idx="161">
                  <c:v>17.259781297922004</c:v>
                </c:pt>
                <c:pt idx="162">
                  <c:v>17.1942403932985</c:v>
                </c:pt>
                <c:pt idx="163">
                  <c:v>17.129198373200904</c:v>
                </c:pt>
                <c:pt idx="164">
                  <c:v>17.064648270352677</c:v>
                </c:pt>
                <c:pt idx="165">
                  <c:v>17.000583249869113</c:v>
                </c:pt>
                <c:pt idx="166">
                  <c:v>16.93549371540778</c:v>
                </c:pt>
                <c:pt idx="167">
                  <c:v>16.870898470130477</c:v>
                </c:pt>
                <c:pt idx="168">
                  <c:v>16.806790592288628</c:v>
                </c:pt>
                <c:pt idx="169">
                  <c:v>16.743163292390715</c:v>
                </c:pt>
                <c:pt idx="170">
                  <c:v>16.67865983289682</c:v>
                </c:pt>
                <c:pt idx="171">
                  <c:v>16.614643886998056</c:v>
                </c:pt>
                <c:pt idx="172">
                  <c:v>16.551108626214496</c:v>
                </c:pt>
                <c:pt idx="173">
                  <c:v>16.488047352952989</c:v>
                </c:pt>
                <c:pt idx="174">
                  <c:v>16.42388148493303</c:v>
                </c:pt>
                <c:pt idx="175">
                  <c:v>16.36019995639365</c:v>
                </c:pt>
                <c:pt idx="176">
                  <c:v>16.296995958751832</c:v>
                </c:pt>
                <c:pt idx="177">
                  <c:v>16.234262814789766</c:v>
                </c:pt>
                <c:pt idx="178">
                  <c:v>16.170468568744177</c:v>
                </c:pt>
                <c:pt idx="179">
                  <c:v>16.107154835589458</c:v>
                </c:pt>
                <c:pt idx="180">
                  <c:v>16.044314842215492</c:v>
                </c:pt>
                <c:pt idx="181">
                  <c:v>15.981941946941978</c:v>
                </c:pt>
                <c:pt idx="182">
                  <c:v>15.918796044046331</c:v>
                </c:pt>
                <c:pt idx="183">
                  <c:v>15.856122556046319</c:v>
                </c:pt>
                <c:pt idx="184">
                  <c:v>15.793914837346975</c:v>
                </c:pt>
                <c:pt idx="185">
                  <c:v>15.732166371444931</c:v>
                </c:pt>
                <c:pt idx="186">
                  <c:v>15.66919446979181</c:v>
                </c:pt>
                <c:pt idx="187">
                  <c:v>15.606693839135559</c:v>
                </c:pt>
                <c:pt idx="188">
                  <c:v>15.544657817008083</c:v>
                </c:pt>
                <c:pt idx="189">
                  <c:v>15.483079871402017</c:v>
                </c:pt>
                <c:pt idx="190">
                  <c:v>15.420791416464477</c:v>
                </c:pt>
                <c:pt idx="191">
                  <c:v>15.35896539191441</c:v>
                </c:pt>
                <c:pt idx="192">
                  <c:v>15.297595282743517</c:v>
                </c:pt>
                <c:pt idx="193">
                  <c:v>15.236674701475053</c:v>
                </c:pt>
                <c:pt idx="194">
                  <c:v>15.174617744310391</c:v>
                </c:pt>
                <c:pt idx="195">
                  <c:v>15.113020963857789</c:v>
                </c:pt>
                <c:pt idx="196">
                  <c:v>15.051877855729517</c:v>
                </c:pt>
                <c:pt idx="197">
                  <c:v>14.991182043671373</c:v>
                </c:pt>
                <c:pt idx="198">
                  <c:v>14.929612717232759</c:v>
                </c:pt>
                <c:pt idx="199">
                  <c:v>14.868497423959344</c:v>
                </c:pt>
                <c:pt idx="200">
                  <c:v>14.807829754116069</c:v>
                </c:pt>
                <c:pt idx="201">
                  <c:v>14.747603424476317</c:v>
                </c:pt>
                <c:pt idx="202">
                  <c:v>14.686535754116317</c:v>
                </c:pt>
                <c:pt idx="203">
                  <c:v>14.625915680284912</c:v>
                </c:pt>
                <c:pt idx="204">
                  <c:v>14.565736896051407</c:v>
                </c:pt>
                <c:pt idx="205">
                  <c:v>14.505993219115688</c:v>
                </c:pt>
                <c:pt idx="206">
                  <c:v>14.445232160618449</c:v>
                </c:pt>
                <c:pt idx="207">
                  <c:v>14.384915020784765</c:v>
                </c:pt>
                <c:pt idx="208">
                  <c:v>14.325035539266844</c:v>
                </c:pt>
                <c:pt idx="209">
                  <c:v>14.26558757991161</c:v>
                </c:pt>
                <c:pt idx="210">
                  <c:v>14.204959504575909</c:v>
                </c:pt>
                <c:pt idx="211">
                  <c:v>14.144774098515548</c:v>
                </c:pt>
                <c:pt idx="212">
                  <c:v>14.085025098462989</c:v>
                </c:pt>
                <c:pt idx="213">
                  <c:v>14.025706366192022</c:v>
                </c:pt>
                <c:pt idx="214">
                  <c:v>13.965642181180177</c:v>
                </c:pt>
                <c:pt idx="215">
                  <c:v>13.906013074373407</c:v>
                </c:pt>
                <c:pt idx="216">
                  <c:v>13.846812915242575</c:v>
                </c:pt>
                <c:pt idx="217">
                  <c:v>13.788035695519365</c:v>
                </c:pt>
                <c:pt idx="218">
                  <c:v>13.728349655688888</c:v>
                </c:pt>
                <c:pt idx="219">
                  <c:v>13.669093726678041</c:v>
                </c:pt>
                <c:pt idx="220">
                  <c:v>13.610261857076464</c:v>
                </c:pt>
                <c:pt idx="221">
                  <c:v>13.551848116336927</c:v>
                </c:pt>
                <c:pt idx="222">
                  <c:v>13.492558320711618</c:v>
                </c:pt>
                <c:pt idx="223">
                  <c:v>13.433693344001423</c:v>
                </c:pt>
                <c:pt idx="224">
                  <c:v>13.375247222385454</c:v>
                </c:pt>
                <c:pt idx="225">
                  <c:v>13.317214111246901</c:v>
                </c:pt>
                <c:pt idx="226">
                  <c:v>13.258157277450426</c:v>
                </c:pt>
                <c:pt idx="227">
                  <c:v>13.199522235845411</c:v>
                </c:pt>
                <c:pt idx="228">
                  <c:v>13.14130306425329</c:v>
                </c:pt>
                <c:pt idx="229">
                  <c:v>13.083493959227528</c:v>
                </c:pt>
                <c:pt idx="230">
                  <c:v>12.966321059697687</c:v>
                </c:pt>
                <c:pt idx="231">
                  <c:v>12.90835618207616</c:v>
                </c:pt>
                <c:pt idx="232">
                  <c:v>12.850797978341495</c:v>
                </c:pt>
                <c:pt idx="233">
                  <c:v>12.792288793161852</c:v>
                </c:pt>
                <c:pt idx="234">
                  <c:v>12.73419398679243</c:v>
                </c:pt>
                <c:pt idx="235">
                  <c:v>12.676507753452096</c:v>
                </c:pt>
                <c:pt idx="236">
                  <c:v>12.619224404169579</c:v>
                </c:pt>
                <c:pt idx="237">
                  <c:v>12.561188228469051</c:v>
                </c:pt>
                <c:pt idx="238">
                  <c:v>12.503559845902057</c:v>
                </c:pt>
                <c:pt idx="239">
                  <c:v>12.446333571178055</c:v>
                </c:pt>
                <c:pt idx="240">
                  <c:v>12.389503833140637</c:v>
                </c:pt>
                <c:pt idx="241">
                  <c:v>12.331627217692221</c:v>
                </c:pt>
                <c:pt idx="242">
                  <c:v>12.274156162253551</c:v>
                </c:pt>
                <c:pt idx="243">
                  <c:v>12.217085012507294</c:v>
                </c:pt>
                <c:pt idx="244">
                  <c:v>12.160408227952699</c:v>
                </c:pt>
                <c:pt idx="245">
                  <c:v>12.102877367050347</c:v>
                </c:pt>
                <c:pt idx="246">
                  <c:v>12.045747189350397</c:v>
                </c:pt>
                <c:pt idx="247">
                  <c:v>11.98901212781835</c:v>
                </c:pt>
                <c:pt idx="248">
                  <c:v>11.93266672738295</c:v>
                </c:pt>
                <c:pt idx="249">
                  <c:v>11.875345494241632</c:v>
                </c:pt>
                <c:pt idx="250">
                  <c:v>11.818421921251041</c:v>
                </c:pt>
                <c:pt idx="251">
                  <c:v>11.761890491308844</c:v>
                </c:pt>
                <c:pt idx="252">
                  <c:v>11.705745798390696</c:v>
                </c:pt>
                <c:pt idx="253">
                  <c:v>11.648806453845868</c:v>
                </c:pt>
                <c:pt idx="254">
                  <c:v>11.592259337449139</c:v>
                </c:pt>
                <c:pt idx="255">
                  <c:v>11.53609903299545</c:v>
                </c:pt>
                <c:pt idx="256">
                  <c:v>11.480320233080541</c:v>
                </c:pt>
                <c:pt idx="257">
                  <c:v>11.423487393158915</c:v>
                </c:pt>
                <c:pt idx="258">
                  <c:v>11.367045103699354</c:v>
                </c:pt>
                <c:pt idx="259">
                  <c:v>11.310987972853106</c:v>
                </c:pt>
                <c:pt idx="260">
                  <c:v>11.255310717312209</c:v>
                </c:pt>
                <c:pt idx="261">
                  <c:v>11.198755597934868</c:v>
                </c:pt>
                <c:pt idx="262">
                  <c:v>11.142586974720947</c:v>
                </c:pt>
                <c:pt idx="263">
                  <c:v>11.086799530196833</c:v>
                </c:pt>
                <c:pt idx="264">
                  <c:v>11.031388053805829</c:v>
                </c:pt>
                <c:pt idx="265">
                  <c:v>10.975128488126318</c:v>
                </c:pt>
                <c:pt idx="266">
                  <c:v>10.919251105575405</c:v>
                </c:pt>
                <c:pt idx="267">
                  <c:v>10.86375066917698</c:v>
                </c:pt>
                <c:pt idx="268">
                  <c:v>10.808622047058893</c:v>
                </c:pt>
                <c:pt idx="269">
                  <c:v>10.752541955468613</c:v>
                </c:pt>
                <c:pt idx="270">
                  <c:v>10.696841287777833</c:v>
                </c:pt>
                <c:pt idx="271">
                  <c:v>10.641514856469978</c:v>
                </c:pt>
                <c:pt idx="272">
                  <c:v>10.586557578122926</c:v>
                </c:pt>
                <c:pt idx="273">
                  <c:v>10.530681253226955</c:v>
                </c:pt>
                <c:pt idx="274">
                  <c:v>10.475181244382128</c:v>
                </c:pt>
                <c:pt idx="275">
                  <c:v>10.420052421448215</c:v>
                </c:pt>
                <c:pt idx="276">
                  <c:v>10.365289757135116</c:v>
                </c:pt>
                <c:pt idx="277">
                  <c:v>10.309763972588478</c:v>
                </c:pt>
                <c:pt idx="278">
                  <c:v>10.254609422026277</c:v>
                </c:pt>
                <c:pt idx="279">
                  <c:v>10.19982107345075</c:v>
                </c:pt>
                <c:pt idx="280">
                  <c:v>10.145393995363731</c:v>
                </c:pt>
                <c:pt idx="281">
                  <c:v>10.089863600291453</c:v>
                </c:pt>
                <c:pt idx="282">
                  <c:v>10.034704082036498</c:v>
                </c:pt>
                <c:pt idx="283">
                  <c:v>9.9799104115324013</c:v>
                </c:pt>
                <c:pt idx="284">
                  <c:v>9.9254776603711967</c:v>
                </c:pt>
                <c:pt idx="285">
                  <c:v>9.8703349090393839</c:v>
                </c:pt>
                <c:pt idx="286">
                  <c:v>9.8155574529387692</c:v>
                </c:pt>
                <c:pt idx="287">
                  <c:v>9.7611403722251726</c:v>
                </c:pt>
                <c:pt idx="288">
                  <c:v>9.7070788450298338</c:v>
                </c:pt>
                <c:pt idx="289">
                  <c:v>9.6519836872692242</c:v>
                </c:pt>
                <c:pt idx="290">
                  <c:v>9.5972527368530951</c:v>
                </c:pt>
                <c:pt idx="291">
                  <c:v>9.542881093011486</c:v>
                </c:pt>
                <c:pt idx="292">
                  <c:v>9.4888639526381304</c:v>
                </c:pt>
                <c:pt idx="293">
                  <c:v>9.4339604941902717</c:v>
                </c:pt>
                <c:pt idx="294">
                  <c:v>9.3794182438317311</c:v>
                </c:pt>
                <c:pt idx="295">
                  <c:v>9.3252323588407844</c:v>
                </c:pt>
                <c:pt idx="296">
                  <c:v>9.2713980927979485</c:v>
                </c:pt>
                <c:pt idx="297">
                  <c:v>9.2167066323965621</c:v>
                </c:pt>
                <c:pt idx="298">
                  <c:v>9.1623731134894832</c:v>
                </c:pt>
                <c:pt idx="299">
                  <c:v>9.1083927571221359</c:v>
                </c:pt>
                <c:pt idx="300">
                  <c:v>9.0547608791141201</c:v>
                </c:pt>
                <c:pt idx="301">
                  <c:v>9.0002996910311914</c:v>
                </c:pt>
                <c:pt idx="302">
                  <c:v>8.9461929435062508</c:v>
                </c:pt>
                <c:pt idx="303">
                  <c:v>8.892435926284378</c:v>
                </c:pt>
                <c:pt idx="304">
                  <c:v>8.8390240222135219</c:v>
                </c:pt>
                <c:pt idx="305">
                  <c:v>8.7846016697859639</c:v>
                </c:pt>
                <c:pt idx="306">
                  <c:v>8.7305327382602229</c:v>
                </c:pt>
                <c:pt idx="307">
                  <c:v>8.6768125371040341</c:v>
                </c:pt>
                <c:pt idx="308">
                  <c:v>8.6234364684896789</c:v>
                </c:pt>
                <c:pt idx="309">
                  <c:v>8.5692860203338999</c:v>
                </c:pt>
                <c:pt idx="310">
                  <c:v>8.5154849581276473</c:v>
                </c:pt>
                <c:pt idx="311">
                  <c:v>8.4620286710999206</c:v>
                </c:pt>
                <c:pt idx="312">
                  <c:v>8.4089126391979772</c:v>
                </c:pt>
                <c:pt idx="313">
                  <c:v>8.3548492670771992</c:v>
                </c:pt>
                <c:pt idx="314">
                  <c:v>8.3011336299316394</c:v>
                </c:pt>
                <c:pt idx="315">
                  <c:v>8.2477611498534564</c:v>
                </c:pt>
                <c:pt idx="316">
                  <c:v>8.1947273388832507</c:v>
                </c:pt>
                <c:pt idx="317">
                  <c:v>8.1407770841743901</c:v>
                </c:pt>
                <c:pt idx="318">
                  <c:v>8.0871725761568634</c:v>
                </c:pt>
                <c:pt idx="319">
                  <c:v>8.0339092766886289</c:v>
                </c:pt>
                <c:pt idx="320">
                  <c:v>7.9809827366142425</c:v>
                </c:pt>
                <c:pt idx="321">
                  <c:v>7.9271693943364419</c:v>
                </c:pt>
                <c:pt idx="322">
                  <c:v>7.8736995069993485</c:v>
                </c:pt>
                <c:pt idx="323">
                  <c:v>7.820568582364972</c:v>
                </c:pt>
                <c:pt idx="324">
                  <c:v>7.7677722160498686</c:v>
                </c:pt>
                <c:pt idx="325">
                  <c:v>7.7141174819554612</c:v>
                </c:pt>
                <c:pt idx="326">
                  <c:v>7.6608036393960797</c:v>
                </c:pt>
                <c:pt idx="327">
                  <c:v>7.6078262474506122</c:v>
                </c:pt>
                <c:pt idx="328">
                  <c:v>7.555180951771451</c:v>
                </c:pt>
                <c:pt idx="329">
                  <c:v>7.5016154221615157</c:v>
                </c:pt>
                <c:pt idx="330">
                  <c:v>7.4483891030567637</c:v>
                </c:pt>
                <c:pt idx="331">
                  <c:v>7.3954975877647637</c:v>
                </c:pt>
                <c:pt idx="332">
                  <c:v>7.3429365553202706</c:v>
                </c:pt>
                <c:pt idx="333">
                  <c:v>7.2895717110199509</c:v>
                </c:pt>
                <c:pt idx="334">
                  <c:v>7.2365429953704119</c:v>
                </c:pt>
                <c:pt idx="335">
                  <c:v>7.1838460631310994</c:v>
                </c:pt>
                <c:pt idx="336">
                  <c:v>7.1314766532325482</c:v>
                </c:pt>
                <c:pt idx="337">
                  <c:v>7.0781589725024237</c:v>
                </c:pt>
                <c:pt idx="338">
                  <c:v>7.0251762728604836</c:v>
                </c:pt>
                <c:pt idx="339">
                  <c:v>6.9725242331362249</c:v>
                </c:pt>
                <c:pt idx="340">
                  <c:v>6.92019861573102</c:v>
                </c:pt>
                <c:pt idx="341">
                  <c:v>6.8669550784041373</c:v>
                </c:pt>
                <c:pt idx="342">
                  <c:v>6.8140450359870783</c:v>
                </c:pt>
                <c:pt idx="343">
                  <c:v>6.7614641980028001</c:v>
                </c:pt>
                <c:pt idx="344">
                  <c:v>6.7092083567695626</c:v>
                </c:pt>
                <c:pt idx="345">
                  <c:v>6.6561443913005736</c:v>
                </c:pt>
                <c:pt idx="346">
                  <c:v>6.603411124645346</c:v>
                </c:pt>
                <c:pt idx="347">
                  <c:v>6.5510043221703018</c:v>
                </c:pt>
                <c:pt idx="348">
                  <c:v>6.498919830611678</c:v>
                </c:pt>
                <c:pt idx="349">
                  <c:v>6.4458949261753009</c:v>
                </c:pt>
                <c:pt idx="350">
                  <c:v>6.3931996767742323</c:v>
                </c:pt>
                <c:pt idx="351">
                  <c:v>6.340829870012767</c:v>
                </c:pt>
                <c:pt idx="352">
                  <c:v>6.2887813742942056</c:v>
                </c:pt>
                <c:pt idx="353">
                  <c:v>6.2358222745991512</c:v>
                </c:pt>
                <c:pt idx="354">
                  <c:v>6.1831914548348141</c:v>
                </c:pt>
                <c:pt idx="355">
                  <c:v>6.1308847311950023</c:v>
                </c:pt>
                <c:pt idx="356">
                  <c:v>6.0788979999347479</c:v>
                </c:pt>
                <c:pt idx="357">
                  <c:v>6.0261041822175434</c:v>
                </c:pt>
                <c:pt idx="358">
                  <c:v>5.9736360464585969</c:v>
                </c:pt>
                <c:pt idx="359">
                  <c:v>5.9214894606418609</c:v>
                </c:pt>
                <c:pt idx="360">
                  <c:v>5.8696603714826221</c:v>
                </c:pt>
                <c:pt idx="361">
                  <c:v>5.8169028986894453</c:v>
                </c:pt>
                <c:pt idx="362">
                  <c:v>5.7644701020558902</c:v>
                </c:pt>
                <c:pt idx="363">
                  <c:v>5.7123578710433867</c:v>
                </c:pt>
                <c:pt idx="364">
                  <c:v>5.6605621732806952</c:v>
                </c:pt>
                <c:pt idx="365">
                  <c:v>5.6079385036408027</c:v>
                </c:pt>
                <c:pt idx="366">
                  <c:v>5.5556373124075282</c:v>
                </c:pt>
                <c:pt idx="367">
                  <c:v>5.5036545329895166</c:v>
                </c:pt>
                <c:pt idx="368">
                  <c:v>5.4519861758289823</c:v>
                </c:pt>
                <c:pt idx="369">
                  <c:v>5.3993761493116343</c:v>
                </c:pt>
                <c:pt idx="370">
                  <c:v>5.347087875414811</c:v>
                </c:pt>
                <c:pt idx="371">
                  <c:v>5.2951173036355828</c:v>
                </c:pt>
                <c:pt idx="372">
                  <c:v>5.2434604600707058</c:v>
                </c:pt>
                <c:pt idx="373">
                  <c:v>5.1909592958224371</c:v>
                </c:pt>
                <c:pt idx="374">
                  <c:v>5.1387779991490188</c:v>
                </c:pt>
                <c:pt idx="375">
                  <c:v>5.0869125573613703</c:v>
                </c:pt>
                <c:pt idx="376">
                  <c:v>5.035359033388592</c:v>
                </c:pt>
                <c:pt idx="377">
                  <c:v>4.9828545621887876</c:v>
                </c:pt>
                <c:pt idx="378">
                  <c:v>4.9306694380140428</c:v>
                </c:pt>
                <c:pt idx="379">
                  <c:v>4.8787996602872292</c:v>
                </c:pt>
                <c:pt idx="380">
                  <c:v>4.8272413037105091</c:v>
                </c:pt>
                <c:pt idx="381">
                  <c:v>4.7748910037117485</c:v>
                </c:pt>
                <c:pt idx="382">
                  <c:v>4.7228576239365703</c:v>
                </c:pt>
                <c:pt idx="383">
                  <c:v>4.6711372114688157</c:v>
                </c:pt>
                <c:pt idx="384">
                  <c:v>4.6197258874439502</c:v>
                </c:pt>
                <c:pt idx="385">
                  <c:v>4.5673571211275812</c:v>
                </c:pt>
                <c:pt idx="386">
                  <c:v>4.5153049360337603</c:v>
                </c:pt>
                <c:pt idx="387">
                  <c:v>4.4635653877987771</c:v>
                </c:pt>
                <c:pt idx="388">
                  <c:v>4.4121346058573314</c:v>
                </c:pt>
                <c:pt idx="389">
                  <c:v>4.3598377501759629</c:v>
                </c:pt>
                <c:pt idx="390">
                  <c:v>4.3078560459470907</c:v>
                </c:pt>
                <c:pt idx="391">
                  <c:v>4.2561855775707125</c:v>
                </c:pt>
                <c:pt idx="392">
                  <c:v>4.2048225024887014</c:v>
                </c:pt>
                <c:pt idx="393">
                  <c:v>4.152619781317803</c:v>
                </c:pt>
                <c:pt idx="394">
                  <c:v>4.1007305172804989</c:v>
                </c:pt>
                <c:pt idx="395">
                  <c:v>4.0491508282785507</c:v>
                </c:pt>
                <c:pt idx="396">
                  <c:v>3.9978769043827773</c:v>
                </c:pt>
                <c:pt idx="397">
                  <c:v>3.9456712622689984</c:v>
                </c:pt>
                <c:pt idx="398">
                  <c:v>3.8937785449123434</c:v>
                </c:pt>
                <c:pt idx="399">
                  <c:v>3.8421948820473406</c:v>
                </c:pt>
                <c:pt idx="400">
                  <c:v>3.790916475240766</c:v>
                </c:pt>
                <c:pt idx="401">
                  <c:v>3.7387923279571584</c:v>
                </c:pt>
                <c:pt idx="402">
                  <c:v>3.6869795625197259</c:v>
                </c:pt>
                <c:pt idx="403">
                  <c:v>3.6354743390371307</c:v>
                </c:pt>
                <c:pt idx="404">
                  <c:v>3.5842728886567232</c:v>
                </c:pt>
                <c:pt idx="405">
                  <c:v>3.5321952076806324</c:v>
                </c:pt>
                <c:pt idx="406">
                  <c:v>3.4804277828117778</c:v>
                </c:pt>
                <c:pt idx="407">
                  <c:v>3.4289667966640418</c:v>
                </c:pt>
                <c:pt idx="408">
                  <c:v>3.3778085022915088</c:v>
                </c:pt>
                <c:pt idx="409">
                  <c:v>3.3257458077280471</c:v>
                </c:pt>
                <c:pt idx="410">
                  <c:v>3.2739926144145501</c:v>
                </c:pt>
                <c:pt idx="411">
                  <c:v>3.2225451204989271</c:v>
                </c:pt>
                <c:pt idx="412">
                  <c:v>3.1713995941426329</c:v>
                </c:pt>
                <c:pt idx="413">
                  <c:v>3.1193771253291001</c:v>
                </c:pt>
                <c:pt idx="414">
                  <c:v>3.0676630997515151</c:v>
                </c:pt>
                <c:pt idx="415">
                  <c:v>3.0162537365111919</c:v>
                </c:pt>
                <c:pt idx="416">
                  <c:v>2.965145324164717</c:v>
                </c:pt>
                <c:pt idx="417">
                  <c:v>2.9131342355660057</c:v>
                </c:pt>
                <c:pt idx="418">
                  <c:v>2.8614308687791135</c:v>
                </c:pt>
                <c:pt idx="419">
                  <c:v>2.8100314575359171</c:v>
                </c:pt>
                <c:pt idx="420">
                  <c:v>2.7589323046209273</c:v>
                </c:pt>
                <c:pt idx="421">
                  <c:v>2.7070087062004773</c:v>
                </c:pt>
                <c:pt idx="422">
                  <c:v>2.6553912069584742</c:v>
                </c:pt>
                <c:pt idx="423">
                  <c:v>2.6040760715694939</c:v>
                </c:pt>
                <c:pt idx="424">
                  <c:v>2.553059632962734</c:v>
                </c:pt>
                <c:pt idx="425">
                  <c:v>2.5010939158725747</c:v>
                </c:pt>
                <c:pt idx="426">
                  <c:v>2.4494341943709581</c:v>
                </c:pt>
                <c:pt idx="427">
                  <c:v>2.3980767361808715</c:v>
                </c:pt>
                <c:pt idx="428">
                  <c:v>2.3470178771614663</c:v>
                </c:pt>
                <c:pt idx="429">
                  <c:v>2.2950871221229328</c:v>
                </c:pt>
                <c:pt idx="430">
                  <c:v>2.2434613459952666</c:v>
                </c:pt>
                <c:pt idx="431">
                  <c:v>2.1921368360567834</c:v>
                </c:pt>
                <c:pt idx="432">
                  <c:v>2.141109947204308</c:v>
                </c:pt>
                <c:pt idx="433">
                  <c:v>2.0892371852775313</c:v>
                </c:pt>
                <c:pt idx="434">
                  <c:v>2.0376681104865715</c:v>
                </c:pt>
                <c:pt idx="435">
                  <c:v>1.986399034492434</c:v>
                </c:pt>
                <c:pt idx="436">
                  <c:v>1.9354263359426489</c:v>
                </c:pt>
                <c:pt idx="437">
                  <c:v>1.88354002107407</c:v>
                </c:pt>
                <c:pt idx="438">
                  <c:v>1.8319569295870184</c:v>
                </c:pt>
                <c:pt idx="439">
                  <c:v>1.7806733823197372</c:v>
                </c:pt>
                <c:pt idx="440">
                  <c:v>1.7296857668343348</c:v>
                </c:pt>
                <c:pt idx="441">
                  <c:v>1.6778118651574041</c:v>
                </c:pt>
                <c:pt idx="442">
                  <c:v>1.6262404106031818</c:v>
                </c:pt>
                <c:pt idx="443">
                  <c:v>1.5749677387091028</c:v>
                </c:pt>
                <c:pt idx="444">
                  <c:v>1.5239902513424706</c:v>
                </c:pt>
                <c:pt idx="445">
                  <c:v>1.4721528067483283</c:v>
                </c:pt>
                <c:pt idx="446">
                  <c:v>1.4206167445458515</c:v>
                </c:pt>
                <c:pt idx="447">
                  <c:v>1.3693784200346195</c:v>
                </c:pt>
                <c:pt idx="448">
                  <c:v>1.3184342543307446</c:v>
                </c:pt>
                <c:pt idx="449">
                  <c:v>1.2665689371617925</c:v>
                </c:pt>
                <c:pt idx="450">
                  <c:v>1.2150046730175466</c:v>
                </c:pt>
                <c:pt idx="451">
                  <c:v>1.1637378235061793</c:v>
                </c:pt>
                <c:pt idx="452">
                  <c:v>1.1127648158643335</c:v>
                </c:pt>
                <c:pt idx="453">
                  <c:v>1.0609403368851553</c:v>
                </c:pt>
                <c:pt idx="454">
                  <c:v>1.0094157748191819</c:v>
                </c:pt>
                <c:pt idx="455">
                  <c:v>0.95818751200886587</c:v>
                </c:pt>
                <c:pt idx="456">
                  <c:v>0.90725199589361938</c:v>
                </c:pt>
                <c:pt idx="457">
                  <c:v>0.85540730685298993</c:v>
                </c:pt>
                <c:pt idx="458">
                  <c:v>0.80386209168517997</c:v>
                </c:pt>
                <c:pt idx="459">
                  <c:v>0.75261274081016594</c:v>
                </c:pt>
                <c:pt idx="460">
                  <c:v>0.70165570951877754</c:v>
                </c:pt>
                <c:pt idx="461">
                  <c:v>0.64981635197401844</c:v>
                </c:pt>
                <c:pt idx="462">
                  <c:v>0.598275717270629</c:v>
                </c:pt>
                <c:pt idx="463">
                  <c:v>0.54703020931690727</c:v>
                </c:pt>
                <c:pt idx="464">
                  <c:v>0.49607629653906204</c:v>
                </c:pt>
                <c:pt idx="465">
                  <c:v>0.44422645891457768</c:v>
                </c:pt>
                <c:pt idx="466">
                  <c:v>0.39267476074537627</c:v>
                </c:pt>
                <c:pt idx="467">
                  <c:v>0.34141761627009665</c:v>
                </c:pt>
                <c:pt idx="468">
                  <c:v>0.29045150397025749</c:v>
                </c:pt>
                <c:pt idx="469">
                  <c:v>0.23861572909374879</c:v>
                </c:pt>
                <c:pt idx="470">
                  <c:v>0.18707721428841773</c:v>
                </c:pt>
                <c:pt idx="471">
                  <c:v>0.13583238930830857</c:v>
                </c:pt>
                <c:pt idx="472">
                  <c:v>8.4877747754642685E-2</c:v>
                </c:pt>
                <c:pt idx="473">
                  <c:v>3.3003343292944715E-2</c:v>
                </c:pt>
                <c:pt idx="474">
                  <c:v>-1.8574093690309941E-2</c:v>
                </c:pt>
                <c:pt idx="475">
                  <c:v>-6.9858128596638924E-2</c:v>
                </c:pt>
                <c:pt idx="476">
                  <c:v>-0.12085226311963958</c:v>
                </c:pt>
                <c:pt idx="477">
                  <c:v>-0.1727392317694631</c:v>
                </c:pt>
                <c:pt idx="478">
                  <c:v>-0.22432984085486096</c:v>
                </c:pt>
                <c:pt idx="479">
                  <c:v>-0.27562764539229112</c:v>
                </c:pt>
                <c:pt idx="480">
                  <c:v>-0.32663613695849592</c:v>
                </c:pt>
                <c:pt idx="481">
                  <c:v>-0.37851151044741405</c:v>
                </c:pt>
                <c:pt idx="482">
                  <c:v>-0.43009142424645741</c:v>
                </c:pt>
                <c:pt idx="483">
                  <c:v>-0.48137941787367922</c:v>
                </c:pt>
                <c:pt idx="484">
                  <c:v>-0.53237896779381944</c:v>
                </c:pt>
                <c:pt idx="485">
                  <c:v>-0.58425561042535978</c:v>
                </c:pt>
                <c:pt idx="486">
                  <c:v>-0.6358375639877013</c:v>
                </c:pt>
                <c:pt idx="487">
                  <c:v>-0.68712835493643587</c:v>
                </c:pt>
                <c:pt idx="488">
                  <c:v>-0.73813144699919864</c:v>
                </c:pt>
                <c:pt idx="489">
                  <c:v>-0.79005521522461042</c:v>
                </c:pt>
                <c:pt idx="490">
                  <c:v>-0.84168456486116205</c:v>
                </c:pt>
                <c:pt idx="491">
                  <c:v>-0.89302301835728537</c:v>
                </c:pt>
                <c:pt idx="492">
                  <c:v>-0.94407403554161307</c:v>
                </c:pt>
                <c:pt idx="493">
                  <c:v>-0.99601907258223377</c:v>
                </c:pt>
                <c:pt idx="494">
                  <c:v>-1.047670274923088</c:v>
                </c:pt>
                <c:pt idx="495">
                  <c:v>-1.099031155491891</c:v>
                </c:pt>
                <c:pt idx="496">
                  <c:v>-1.1501051648318932</c:v>
                </c:pt>
                <c:pt idx="497">
                  <c:v>-1.2020804089609116</c:v>
                </c:pt>
                <c:pt idx="498">
                  <c:v>-1.2537623224510075</c:v>
                </c:pt>
                <c:pt idx="499">
                  <c:v>-1.3051544102234256</c:v>
                </c:pt>
                <c:pt idx="500">
                  <c:v>-1.3562601150112354</c:v>
                </c:pt>
                <c:pt idx="501">
                  <c:v>-1.4082733738374946</c:v>
                </c:pt>
                <c:pt idx="502">
                  <c:v>-1.4599937403982635</c:v>
                </c:pt>
                <c:pt idx="503">
                  <c:v>-1.5114247128581673</c:v>
                </c:pt>
                <c:pt idx="504">
                  <c:v>-1.562569727357094</c:v>
                </c:pt>
                <c:pt idx="505">
                  <c:v>-1.6145963063200921</c:v>
                </c:pt>
                <c:pt idx="506">
                  <c:v>-1.6663307309962141</c:v>
                </c:pt>
                <c:pt idx="507">
                  <c:v>-1.7177764875105024</c:v>
                </c:pt>
                <c:pt idx="508">
                  <c:v>-1.7689370002476323</c:v>
                </c:pt>
                <c:pt idx="509">
                  <c:v>-1.8209847979059095</c:v>
                </c:pt>
                <c:pt idx="510">
                  <c:v>-1.8727411128329319</c:v>
                </c:pt>
                <c:pt idx="511">
                  <c:v>-1.9242094203586539</c:v>
                </c:pt>
                <c:pt idx="512">
                  <c:v>-1.9753931343239508</c:v>
                </c:pt>
                <c:pt idx="513">
                  <c:v>-2.0274991571342009</c:v>
                </c:pt>
                <c:pt idx="514">
                  <c:v>-2.0793139794254056</c:v>
                </c:pt>
                <c:pt idx="515">
                  <c:v>-2.1308410727175295</c:v>
                </c:pt>
                <c:pt idx="516">
                  <c:v>-2.1820838471247002</c:v>
                </c:pt>
                <c:pt idx="517">
                  <c:v>-2.2342227045109935</c:v>
                </c:pt>
                <c:pt idx="518">
                  <c:v>-2.2860709517629143</c:v>
                </c:pt>
                <c:pt idx="519">
                  <c:v>-2.3376320511243716</c:v>
                </c:pt>
                <c:pt idx="520">
                  <c:v>-2.3889094036413012</c:v>
                </c:pt>
                <c:pt idx="521">
                  <c:v>-2.4410863391440003</c:v>
                </c:pt>
                <c:pt idx="522">
                  <c:v>-2.4929732213361997</c:v>
                </c:pt>
                <c:pt idx="523">
                  <c:v>-2.5445735037984707</c:v>
                </c:pt>
                <c:pt idx="524">
                  <c:v>-2.5958905791028615</c:v>
                </c:pt>
                <c:pt idx="525">
                  <c:v>-2.6481100790308485</c:v>
                </c:pt>
                <c:pt idx="526">
                  <c:v>-2.7000400581596535</c:v>
                </c:pt>
                <c:pt idx="527">
                  <c:v>-2.7516839618376006</c:v>
                </c:pt>
                <c:pt idx="528">
                  <c:v>-2.8030451745796063</c:v>
                </c:pt>
                <c:pt idx="529">
                  <c:v>-2.8553110334451515</c:v>
                </c:pt>
                <c:pt idx="530">
                  <c:v>-2.9072878880786108</c:v>
                </c:pt>
                <c:pt idx="531">
                  <c:v>-2.9589791758601947</c:v>
                </c:pt>
                <c:pt idx="532">
                  <c:v>-3.010388273501325</c:v>
                </c:pt>
                <c:pt idx="533">
                  <c:v>-3.0627305888940448</c:v>
                </c:pt>
                <c:pt idx="534">
                  <c:v>-3.1147841120413435</c:v>
                </c:pt>
                <c:pt idx="535">
                  <c:v>-3.1665522777332726</c:v>
                </c:pt>
                <c:pt idx="536">
                  <c:v>-3.2180384601251255</c:v>
                </c:pt>
                <c:pt idx="537">
                  <c:v>-3.2704053706111651</c:v>
                </c:pt>
                <c:pt idx="538">
                  <c:v>-3.3224842984951235</c:v>
                </c:pt>
                <c:pt idx="539">
                  <c:v>-3.3742786652901069</c:v>
                </c:pt>
                <c:pt idx="540">
                  <c:v>-3.4257918321545757</c:v>
                </c:pt>
                <c:pt idx="541">
                  <c:v>-3.478238718384028</c:v>
                </c:pt>
                <c:pt idx="542">
                  <c:v>-3.5303978508093592</c:v>
                </c:pt>
                <c:pt idx="543">
                  <c:v>-3.5822726479092633</c:v>
                </c:pt>
                <c:pt idx="544">
                  <c:v>-3.6338664678429349</c:v>
                </c:pt>
                <c:pt idx="545">
                  <c:v>-3.6863680385732751</c:v>
                </c:pt>
                <c:pt idx="546">
                  <c:v>-3.7385823893349817</c:v>
                </c:pt>
                <c:pt idx="547">
                  <c:v>-3.7905129300474405</c:v>
                </c:pt>
                <c:pt idx="548">
                  <c:v>-3.8421630104704017</c:v>
                </c:pt>
                <c:pt idx="549">
                  <c:v>-3.8947204821208299</c:v>
                </c:pt>
                <c:pt idx="550">
                  <c:v>-3.946991281408065</c:v>
                </c:pt>
                <c:pt idx="551">
                  <c:v>-3.9989788093191581</c:v>
                </c:pt>
                <c:pt idx="552">
                  <c:v>-4.0506864068451671</c:v>
                </c:pt>
                <c:pt idx="553">
                  <c:v>-4.1033247595588884</c:v>
                </c:pt>
                <c:pt idx="554">
                  <c:v>-4.1556767434643511</c:v>
                </c:pt>
                <c:pt idx="555">
                  <c:v>-4.2077457547892072</c:v>
                </c:pt>
                <c:pt idx="556">
                  <c:v>-4.2595351298257107</c:v>
                </c:pt>
                <c:pt idx="557">
                  <c:v>-4.3646854488139057</c:v>
                </c:pt>
                <c:pt idx="558">
                  <c:v>-4.4687051692874</c:v>
                </c:pt>
                <c:pt idx="559">
                  <c:v>-4.5739669271824344</c:v>
                </c:pt>
                <c:pt idx="560">
                  <c:v>-4.6781005820020125</c:v>
                </c:pt>
                <c:pt idx="561">
                  <c:v>-4.7835638093325921</c:v>
                </c:pt>
                <c:pt idx="562">
                  <c:v>-4.8878996156523238</c:v>
                </c:pt>
                <c:pt idx="563">
                  <c:v>-4.9933377623899915</c:v>
                </c:pt>
                <c:pt idx="564">
                  <c:v>-5.09765407563129</c:v>
                </c:pt>
                <c:pt idx="565">
                  <c:v>-5.2034629229943921</c:v>
                </c:pt>
                <c:pt idx="566">
                  <c:v>-5.308147241421044</c:v>
                </c:pt>
                <c:pt idx="567">
                  <c:v>-5.4142668014627002</c:v>
                </c:pt>
                <c:pt idx="568">
                  <c:v>-5.5192605267421522</c:v>
                </c:pt>
                <c:pt idx="569">
                  <c:v>-5.6252214890388625</c:v>
                </c:pt>
                <c:pt idx="570">
                  <c:v>-5.7300652781301533</c:v>
                </c:pt>
                <c:pt idx="571">
                  <c:v>-5.8366507714799232</c:v>
                </c:pt>
                <c:pt idx="572">
                  <c:v>-5.9421113937308263</c:v>
                </c:pt>
                <c:pt idx="573">
                  <c:v>-6.0484544356467289</c:v>
                </c:pt>
                <c:pt idx="574">
                  <c:v>-6.153683157844851</c:v>
                </c:pt>
                <c:pt idx="575">
                  <c:v>-6.2605391955462943</c:v>
                </c:pt>
                <c:pt idx="576">
                  <c:v>-6.3662757528369518</c:v>
                </c:pt>
                <c:pt idx="577">
                  <c:v>-6.8020981228354298</c:v>
                </c:pt>
                <c:pt idx="578">
                  <c:v>-7.2200988729681592</c:v>
                </c:pt>
                <c:pt idx="579">
                  <c:v>-8.0811076740879528</c:v>
                </c:pt>
                <c:pt idx="580">
                  <c:v>-8.9516371746637233</c:v>
                </c:pt>
                <c:pt idx="581">
                  <c:v>-9.8312621851482511</c:v>
                </c:pt>
                <c:pt idx="582">
                  <c:v>-10.721207810517461</c:v>
                </c:pt>
                <c:pt idx="583">
                  <c:v>-11.621244510474863</c:v>
                </c:pt>
                <c:pt idx="584">
                  <c:v>-12.532180572211551</c:v>
                </c:pt>
                <c:pt idx="585">
                  <c:v>-13.453274427312143</c:v>
                </c:pt>
                <c:pt idx="586">
                  <c:v>-14.384062074425458</c:v>
                </c:pt>
                <c:pt idx="587">
                  <c:v>-15.324110919058679</c:v>
                </c:pt>
                <c:pt idx="588">
                  <c:v>-16.271361573668781</c:v>
                </c:pt>
                <c:pt idx="589">
                  <c:v>-17.225413627321021</c:v>
                </c:pt>
                <c:pt idx="590">
                  <c:v>-18.185124888761656</c:v>
                </c:pt>
                <c:pt idx="591">
                  <c:v>-19.150729665739348</c:v>
                </c:pt>
                <c:pt idx="592">
                  <c:v>-20.123958256958588</c:v>
                </c:pt>
                <c:pt idx="593">
                  <c:v>-21.109693983347885</c:v>
                </c:pt>
                <c:pt idx="594">
                  <c:v>-22.116251482381109</c:v>
                </c:pt>
                <c:pt idx="595">
                  <c:v>-23.157742168624939</c:v>
                </c:pt>
                <c:pt idx="596">
                  <c:v>-24.254295818175944</c:v>
                </c:pt>
                <c:pt idx="597">
                  <c:v>-25.433062597405865</c:v>
                </c:pt>
                <c:pt idx="598">
                  <c:v>-26.725330358008087</c:v>
                </c:pt>
                <c:pt idx="599">
                  <c:v>-28.16286708800137</c:v>
                </c:pt>
                <c:pt idx="600">
                  <c:v>-29.769463128980487</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6430.5027585356102</c:v>
                </c:pt>
              </c:numCache>
            </c:numRef>
          </c:xVal>
          <c:yVal>
            <c:numRef>
              <c:f>'Stability Calculations'!$D$635</c:f>
              <c:numCache>
                <c:formatCode>0.00</c:formatCode>
                <c:ptCount val="1"/>
                <c:pt idx="0">
                  <c:v>22.334187832337445</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7.5269248051528796</c:v>
                </c:pt>
              </c:numCache>
            </c:numRef>
          </c:xVal>
          <c:yVal>
            <c:numRef>
              <c:f>'Stability Calculations'!$Q$624</c:f>
              <c:numCache>
                <c:formatCode>0.00</c:formatCode>
                <c:ptCount val="1"/>
                <c:pt idx="0">
                  <c:v>98.984657456230295</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404.71326650027254</c:v>
                </c:pt>
              </c:numCache>
            </c:numRef>
          </c:xVal>
          <c:yVal>
            <c:numRef>
              <c:f>'Stability Calculations'!$D$632</c:f>
              <c:numCache>
                <c:formatCode>0.00</c:formatCode>
                <c:ptCount val="1"/>
                <c:pt idx="0">
                  <c:v>64.391219127867288</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530516.47757918795</c:v>
                </c:pt>
              </c:numCache>
            </c:numRef>
          </c:xVal>
          <c:yVal>
            <c:numRef>
              <c:f>'Stability Calculations'!$Q$623</c:f>
              <c:numCache>
                <c:formatCode>0.00</c:formatCode>
                <c:ptCount val="1"/>
                <c:pt idx="0">
                  <c:v>-21.226590249663335</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-7.700587620840972</c:v>
                </c:pt>
                <c:pt idx="1">
                  <c:v>-8.4339859800191643</c:v>
                </c:pt>
                <c:pt idx="2">
                  <c:v>-9.2350332707438909</c:v>
                </c:pt>
                <c:pt idx="3">
                  <c:v>-10.109346880205315</c:v>
                </c:pt>
                <c:pt idx="4">
                  <c:v>-11.062159781828431</c:v>
                </c:pt>
                <c:pt idx="5">
                  <c:v>-12.101197435972733</c:v>
                </c:pt>
                <c:pt idx="6">
                  <c:v>-13.231295501888512</c:v>
                </c:pt>
                <c:pt idx="7">
                  <c:v>-14.459445352940349</c:v>
                </c:pt>
                <c:pt idx="8">
                  <c:v>-15.790870636849895</c:v>
                </c:pt>
                <c:pt idx="9">
                  <c:v>-17.23240669767414</c:v>
                </c:pt>
                <c:pt idx="10">
                  <c:v>-18.788551921329603</c:v>
                </c:pt>
                <c:pt idx="11">
                  <c:v>-20.46397339376302</c:v>
                </c:pt>
                <c:pt idx="12">
                  <c:v>-22.262989617149877</c:v>
                </c:pt>
                <c:pt idx="13">
                  <c:v>-24.185723955979157</c:v>
                </c:pt>
                <c:pt idx="14">
                  <c:v>-26.233639773850619</c:v>
                </c:pt>
                <c:pt idx="15">
                  <c:v>-28.403671125851556</c:v>
                </c:pt>
                <c:pt idx="16">
                  <c:v>-30.691019202289631</c:v>
                </c:pt>
                <c:pt idx="17">
                  <c:v>-33.087463928342359</c:v>
                </c:pt>
                <c:pt idx="18">
                  <c:v>-35.582774675907551</c:v>
                </c:pt>
                <c:pt idx="19">
                  <c:v>-38.162336800216174</c:v>
                </c:pt>
                <c:pt idx="20">
                  <c:v>-40.809933803814808</c:v>
                </c:pt>
                <c:pt idx="21">
                  <c:v>-43.505995745353012</c:v>
                </c:pt>
                <c:pt idx="22">
                  <c:v>-46.230447529782474</c:v>
                </c:pt>
                <c:pt idx="23">
                  <c:v>-48.961190037434982</c:v>
                </c:pt>
                <c:pt idx="24">
                  <c:v>-51.677641314316517</c:v>
                </c:pt>
                <c:pt idx="25">
                  <c:v>-54.359172162900798</c:v>
                </c:pt>
                <c:pt idx="26">
                  <c:v>-56.988077115116212</c:v>
                </c:pt>
                <c:pt idx="27">
                  <c:v>-59.547738076065571</c:v>
                </c:pt>
                <c:pt idx="28">
                  <c:v>-62.025487634930094</c:v>
                </c:pt>
                <c:pt idx="29">
                  <c:v>-64.410306426270267</c:v>
                </c:pt>
                <c:pt idx="30">
                  <c:v>-66.699805184397704</c:v>
                </c:pt>
                <c:pt idx="31">
                  <c:v>-68.887361042660032</c:v>
                </c:pt>
                <c:pt idx="32">
                  <c:v>-70.973900922349557</c:v>
                </c:pt>
                <c:pt idx="33">
                  <c:v>-72.959793648529342</c:v>
                </c:pt>
                <c:pt idx="34">
                  <c:v>-74.850442891744947</c:v>
                </c:pt>
                <c:pt idx="35">
                  <c:v>-76.650272800831644</c:v>
                </c:pt>
                <c:pt idx="36">
                  <c:v>-78.366401333150051</c:v>
                </c:pt>
                <c:pt idx="37">
                  <c:v>-80.007503912700358</c:v>
                </c:pt>
                <c:pt idx="38">
                  <c:v>-81.580551779783917</c:v>
                </c:pt>
                <c:pt idx="39">
                  <c:v>-83.095889769833605</c:v>
                </c:pt>
                <c:pt idx="40">
                  <c:v>-84.562344176601997</c:v>
                </c:pt>
                <c:pt idx="41">
                  <c:v>-85.989702804862929</c:v>
                </c:pt>
                <c:pt idx="42">
                  <c:v>-87.387574341005603</c:v>
                </c:pt>
                <c:pt idx="43">
                  <c:v>-88.766244331341468</c:v>
                </c:pt>
                <c:pt idx="44">
                  <c:v>-90.135245264723693</c:v>
                </c:pt>
                <c:pt idx="45">
                  <c:v>-91.504741349498602</c:v>
                </c:pt>
                <c:pt idx="46">
                  <c:v>-92.884291863063041</c:v>
                </c:pt>
                <c:pt idx="47">
                  <c:v>-94.283940852526968</c:v>
                </c:pt>
                <c:pt idx="48">
                  <c:v>-95.712947750040797</c:v>
                </c:pt>
                <c:pt idx="49">
                  <c:v>-97.181074794020162</c:v>
                </c:pt>
                <c:pt idx="50">
                  <c:v>-98.697197670736529</c:v>
                </c:pt>
                <c:pt idx="51">
                  <c:v>-100.27035655287885</c:v>
                </c:pt>
                <c:pt idx="52">
                  <c:v>-101.90814139747779</c:v>
                </c:pt>
                <c:pt idx="53">
                  <c:v>-103.61787914653814</c:v>
                </c:pt>
                <c:pt idx="54">
                  <c:v>-105.4046389109934</c:v>
                </c:pt>
                <c:pt idx="55">
                  <c:v>-107.27633278451819</c:v>
                </c:pt>
                <c:pt idx="56">
                  <c:v>-109.23355620722434</c:v>
                </c:pt>
                <c:pt idx="57">
                  <c:v>-111.2786570915188</c:v>
                </c:pt>
                <c:pt idx="58">
                  <c:v>-113.40870069262549</c:v>
                </c:pt>
                <c:pt idx="59">
                  <c:v>-115.62099848836402</c:v>
                </c:pt>
                <c:pt idx="60">
                  <c:v>-117.90683999625982</c:v>
                </c:pt>
                <c:pt idx="61">
                  <c:v>-120.25571808636015</c:v>
                </c:pt>
                <c:pt idx="62">
                  <c:v>-122.65473203284016</c:v>
                </c:pt>
                <c:pt idx="63">
                  <c:v>-125.08421299898474</c:v>
                </c:pt>
                <c:pt idx="64">
                  <c:v>-127.52593908791157</c:v>
                </c:pt>
                <c:pt idx="65">
                  <c:v>-129.95665877518076</c:v>
                </c:pt>
                <c:pt idx="66">
                  <c:v>-132.3528815261669</c:v>
                </c:pt>
                <c:pt idx="67">
                  <c:v>-134.69012130301437</c:v>
                </c:pt>
                <c:pt idx="68">
                  <c:v>-136.94534323538741</c:v>
                </c:pt>
                <c:pt idx="69">
                  <c:v>-139.09551073834936</c:v>
                </c:pt>
                <c:pt idx="70">
                  <c:v>-141.12059801224564</c:v>
                </c:pt>
                <c:pt idx="71">
                  <c:v>-143.00219210304897</c:v>
                </c:pt>
                <c:pt idx="72">
                  <c:v>-144.72539809023459</c:v>
                </c:pt>
                <c:pt idx="73">
                  <c:v>-146.27725574750065</c:v>
                </c:pt>
                <c:pt idx="74">
                  <c:v>-147.64824478092896</c:v>
                </c:pt>
                <c:pt idx="75">
                  <c:v>-148.83057485457437</c:v>
                </c:pt>
                <c:pt idx="76">
                  <c:v>-149.8189495705503</c:v>
                </c:pt>
                <c:pt idx="77">
                  <c:v>-150.60917983634803</c:v>
                </c:pt>
                <c:pt idx="78">
                  <c:v>-151.19883458985666</c:v>
                </c:pt>
                <c:pt idx="79">
                  <c:v>-151.58629472781809</c:v>
                </c:pt>
                <c:pt idx="80">
                  <c:v>-151.77143912428377</c:v>
                </c:pt>
                <c:pt idx="81">
                  <c:v>-151.75379477295974</c:v>
                </c:pt>
                <c:pt idx="82">
                  <c:v>-151.53394543538363</c:v>
                </c:pt>
                <c:pt idx="83">
                  <c:v>-151.11327657565784</c:v>
                </c:pt>
                <c:pt idx="84">
                  <c:v>-150.49342160469959</c:v>
                </c:pt>
                <c:pt idx="85">
                  <c:v>-149.6775786026694</c:v>
                </c:pt>
                <c:pt idx="86">
                  <c:v>-148.6698280134043</c:v>
                </c:pt>
                <c:pt idx="87">
                  <c:v>-147.47520804259938</c:v>
                </c:pt>
                <c:pt idx="88">
                  <c:v>-146.10249031654132</c:v>
                </c:pt>
                <c:pt idx="89">
                  <c:v>-144.56053747209211</c:v>
                </c:pt>
                <c:pt idx="90">
                  <c:v>-142.86238320315499</c:v>
                </c:pt>
                <c:pt idx="91">
                  <c:v>-141.02319212180791</c:v>
                </c:pt>
                <c:pt idx="92">
                  <c:v>-139.06135509120929</c:v>
                </c:pt>
                <c:pt idx="93">
                  <c:v>-136.99706181079395</c:v>
                </c:pt>
                <c:pt idx="94">
                  <c:v>-136.46790388436267</c:v>
                </c:pt>
                <c:pt idx="95">
                  <c:v>-136.19993512615144</c:v>
                </c:pt>
                <c:pt idx="96">
                  <c:v>-135.93394482238179</c:v>
                </c:pt>
                <c:pt idx="97">
                  <c:v>-135.6638510029247</c:v>
                </c:pt>
                <c:pt idx="98">
                  <c:v>-135.39585621788049</c:v>
                </c:pt>
                <c:pt idx="99">
                  <c:v>-135.12376509719027</c:v>
                </c:pt>
                <c:pt idx="100">
                  <c:v>-134.85389360116045</c:v>
                </c:pt>
                <c:pt idx="101">
                  <c:v>-134.58014622784549</c:v>
                </c:pt>
                <c:pt idx="102">
                  <c:v>-134.30873540766385</c:v>
                </c:pt>
                <c:pt idx="103">
                  <c:v>-134.03326845324386</c:v>
                </c:pt>
                <c:pt idx="104">
                  <c:v>-133.76025799800334</c:v>
                </c:pt>
                <c:pt idx="105">
                  <c:v>-133.48342384468904</c:v>
                </c:pt>
                <c:pt idx="106">
                  <c:v>-133.20916186859768</c:v>
                </c:pt>
                <c:pt idx="107">
                  <c:v>-132.93130677897287</c:v>
                </c:pt>
                <c:pt idx="108">
                  <c:v>-132.65613479913534</c:v>
                </c:pt>
                <c:pt idx="109">
                  <c:v>-132.37740886915662</c:v>
                </c:pt>
                <c:pt idx="110">
                  <c:v>-132.10147560432617</c:v>
                </c:pt>
                <c:pt idx="111">
                  <c:v>-131.82185079636446</c:v>
                </c:pt>
                <c:pt idx="112">
                  <c:v>-131.54513045154792</c:v>
                </c:pt>
                <c:pt idx="113">
                  <c:v>-131.26496272366265</c:v>
                </c:pt>
                <c:pt idx="114">
                  <c:v>-130.98780557252425</c:v>
                </c:pt>
                <c:pt idx="115">
                  <c:v>-130.70726393214224</c:v>
                </c:pt>
                <c:pt idx="116">
                  <c:v>-130.42983684682505</c:v>
                </c:pt>
                <c:pt idx="117">
                  <c:v>-130.14909529664106</c:v>
                </c:pt>
                <c:pt idx="118">
                  <c:v>-129.87156987529653</c:v>
                </c:pt>
                <c:pt idx="119">
                  <c:v>-129.59097587235203</c:v>
                </c:pt>
                <c:pt idx="120">
                  <c:v>-129.31369289349828</c:v>
                </c:pt>
                <c:pt idx="121">
                  <c:v>-129.03341620489212</c:v>
                </c:pt>
                <c:pt idx="122">
                  <c:v>-128.75654248371245</c:v>
                </c:pt>
                <c:pt idx="123">
                  <c:v>-128.4765945189904</c:v>
                </c:pt>
                <c:pt idx="124">
                  <c:v>-128.20014229670647</c:v>
                </c:pt>
                <c:pt idx="125">
                  <c:v>-127.9208667878959</c:v>
                </c:pt>
                <c:pt idx="126">
                  <c:v>-127.64517229479929</c:v>
                </c:pt>
                <c:pt idx="127">
                  <c:v>-127.36674507576754</c:v>
                </c:pt>
                <c:pt idx="128">
                  <c:v>-127.09198046713415</c:v>
                </c:pt>
                <c:pt idx="129">
                  <c:v>-126.81457793797661</c:v>
                </c:pt>
                <c:pt idx="130">
                  <c:v>-126.54091571323032</c:v>
                </c:pt>
                <c:pt idx="131">
                  <c:v>-126.26471412472141</c:v>
                </c:pt>
                <c:pt idx="132">
                  <c:v>-126.12804678358498</c:v>
                </c:pt>
                <c:pt idx="133">
                  <c:v>-125.99232642404911</c:v>
                </c:pt>
                <c:pt idx="134">
                  <c:v>-125.85435398170918</c:v>
                </c:pt>
                <c:pt idx="135">
                  <c:v>-125.71736029745483</c:v>
                </c:pt>
                <c:pt idx="136">
                  <c:v>-125.58133839919887</c:v>
                </c:pt>
                <c:pt idx="137">
                  <c:v>-125.44628131793947</c:v>
                </c:pt>
                <c:pt idx="138">
                  <c:v>-125.30914859149267</c:v>
                </c:pt>
                <c:pt idx="139">
                  <c:v>-125.17301026582354</c:v>
                </c:pt>
                <c:pt idx="140">
                  <c:v>-125.03785891148198</c:v>
                </c:pt>
                <c:pt idx="141">
                  <c:v>-124.90368711216779</c:v>
                </c:pt>
                <c:pt idx="142">
                  <c:v>-124.76734058706371</c:v>
                </c:pt>
                <c:pt idx="143">
                  <c:v>-124.63200494780529</c:v>
                </c:pt>
                <c:pt idx="144">
                  <c:v>-124.49767229456209</c:v>
                </c:pt>
                <c:pt idx="145">
                  <c:v>-124.36433475091545</c:v>
                </c:pt>
                <c:pt idx="146">
                  <c:v>-124.22893032469923</c:v>
                </c:pt>
                <c:pt idx="147">
                  <c:v>-124.09455104508595</c:v>
                </c:pt>
                <c:pt idx="148">
                  <c:v>-123.96118856417911</c:v>
                </c:pt>
                <c:pt idx="149">
                  <c:v>-123.82883456783728</c:v>
                </c:pt>
                <c:pt idx="150">
                  <c:v>-123.69445546020278</c:v>
                </c:pt>
                <c:pt idx="151">
                  <c:v>-123.5611145197564</c:v>
                </c:pt>
                <c:pt idx="152">
                  <c:v>-123.4288029630915</c:v>
                </c:pt>
                <c:pt idx="153">
                  <c:v>-123.29751205096656</c:v>
                </c:pt>
                <c:pt idx="154">
                  <c:v>-123.1641783802615</c:v>
                </c:pt>
                <c:pt idx="155">
                  <c:v>-123.03189559432596</c:v>
                </c:pt>
                <c:pt idx="156">
                  <c:v>-122.90065447558344</c:v>
                </c:pt>
                <c:pt idx="157">
                  <c:v>-122.77044586115832</c:v>
                </c:pt>
                <c:pt idx="158">
                  <c:v>-122.63824229241224</c:v>
                </c:pt>
                <c:pt idx="159">
                  <c:v>-122.50710099963638</c:v>
                </c:pt>
                <c:pt idx="160">
                  <c:v>-122.37701234608924</c:v>
                </c:pt>
                <c:pt idx="161">
                  <c:v>-122.24796676028248</c:v>
                </c:pt>
                <c:pt idx="162">
                  <c:v>-122.11703257098407</c:v>
                </c:pt>
                <c:pt idx="163">
                  <c:v>-121.98716976789116</c:v>
                </c:pt>
                <c:pt idx="164">
                  <c:v>-121.85836832475573</c:v>
                </c:pt>
                <c:pt idx="165">
                  <c:v>-121.73061829096879</c:v>
                </c:pt>
                <c:pt idx="166">
                  <c:v>-121.60091609586476</c:v>
                </c:pt>
                <c:pt idx="167">
                  <c:v>-121.47229493524148</c:v>
                </c:pt>
                <c:pt idx="168">
                  <c:v>-121.34474438471916</c:v>
                </c:pt>
                <c:pt idx="169">
                  <c:v>-121.21825410612836</c:v>
                </c:pt>
                <c:pt idx="170">
                  <c:v>-121.09013342991574</c:v>
                </c:pt>
                <c:pt idx="171">
                  <c:v>-120.96309749179004</c:v>
                </c:pt>
                <c:pt idx="172">
                  <c:v>-120.83713555565423</c:v>
                </c:pt>
                <c:pt idx="173">
                  <c:v>-120.71223698128347</c:v>
                </c:pt>
                <c:pt idx="174">
                  <c:v>-120.58528257672511</c:v>
                </c:pt>
                <c:pt idx="175">
                  <c:v>-120.45942348613163</c:v>
                </c:pt>
                <c:pt idx="176">
                  <c:v>-120.33464855965948</c:v>
                </c:pt>
                <c:pt idx="177">
                  <c:v>-120.21094675429055</c:v>
                </c:pt>
                <c:pt idx="178">
                  <c:v>-120.08530469401036</c:v>
                </c:pt>
                <c:pt idx="179">
                  <c:v>-119.96076605346234</c:v>
                </c:pt>
                <c:pt idx="180">
                  <c:v>-119.83731930373344</c:v>
                </c:pt>
                <c:pt idx="181">
                  <c:v>-119.71495303340599</c:v>
                </c:pt>
                <c:pt idx="182">
                  <c:v>-119.59124083535697</c:v>
                </c:pt>
                <c:pt idx="183">
                  <c:v>-119.46862915798935</c:v>
                </c:pt>
                <c:pt idx="184">
                  <c:v>-119.3471062674807</c:v>
                </c:pt>
                <c:pt idx="185">
                  <c:v>-119.22666055580943</c:v>
                </c:pt>
                <c:pt idx="186">
                  <c:v>-119.1040183619897</c:v>
                </c:pt>
                <c:pt idx="187">
                  <c:v>-118.98248885938604</c:v>
                </c:pt>
                <c:pt idx="188">
                  <c:v>-118.86205986895934</c:v>
                </c:pt>
                <c:pt idx="189">
                  <c:v>-118.74271934927889</c:v>
                </c:pt>
                <c:pt idx="190">
                  <c:v>-118.62220884143842</c:v>
                </c:pt>
                <c:pt idx="191">
                  <c:v>-118.50280392861123</c:v>
                </c:pt>
                <c:pt idx="192">
                  <c:v>-118.38449230253572</c:v>
                </c:pt>
                <c:pt idx="193">
                  <c:v>-118.26726179965451</c:v>
                </c:pt>
                <c:pt idx="194">
                  <c:v>-118.14806924377152</c:v>
                </c:pt>
                <c:pt idx="195">
                  <c:v>-118.02998975034393</c:v>
                </c:pt>
                <c:pt idx="196">
                  <c:v>-117.91301064203071</c:v>
                </c:pt>
                <c:pt idx="197">
                  <c:v>-117.79711939703857</c:v>
                </c:pt>
                <c:pt idx="198">
                  <c:v>-117.6798013752647</c:v>
                </c:pt>
                <c:pt idx="199">
                  <c:v>-117.56359343442966</c:v>
                </c:pt>
                <c:pt idx="200">
                  <c:v>-117.44848270654582</c:v>
                </c:pt>
                <c:pt idx="201">
                  <c:v>-117.33445648716001</c:v>
                </c:pt>
                <c:pt idx="202">
                  <c:v>-117.21909342532916</c:v>
                </c:pt>
                <c:pt idx="203">
                  <c:v>-117.10483557011131</c:v>
                </c:pt>
                <c:pt idx="204">
                  <c:v>-116.99166990057311</c:v>
                </c:pt>
                <c:pt idx="205">
                  <c:v>-116.87958356659222</c:v>
                </c:pt>
                <c:pt idx="206">
                  <c:v>-116.76585988884473</c:v>
                </c:pt>
                <c:pt idx="207">
                  <c:v>-116.65324226556704</c:v>
                </c:pt>
                <c:pt idx="208">
                  <c:v>-116.54171742520235</c:v>
                </c:pt>
                <c:pt idx="209">
                  <c:v>-116.43127227596896</c:v>
                </c:pt>
                <c:pt idx="210">
                  <c:v>-116.31892230353567</c:v>
                </c:pt>
                <c:pt idx="211">
                  <c:v>-116.20768434996032</c:v>
                </c:pt>
                <c:pt idx="212">
                  <c:v>-116.09754479994579</c:v>
                </c:pt>
                <c:pt idx="213">
                  <c:v>-115.98849022872743</c:v>
                </c:pt>
                <c:pt idx="214">
                  <c:v>-115.87836572307849</c:v>
                </c:pt>
                <c:pt idx="215">
                  <c:v>-115.76934226805004</c:v>
                </c:pt>
                <c:pt idx="216">
                  <c:v>-115.66140621656987</c:v>
                </c:pt>
                <c:pt idx="217">
                  <c:v>-115.55454411705381</c:v>
                </c:pt>
                <c:pt idx="218">
                  <c:v>-115.44634256602053</c:v>
                </c:pt>
                <c:pt idx="219">
                  <c:v>-115.33923664994886</c:v>
                </c:pt>
                <c:pt idx="220">
                  <c:v>-115.2332125931454</c:v>
                </c:pt>
                <c:pt idx="221">
                  <c:v>-115.1282568220998</c:v>
                </c:pt>
                <c:pt idx="222">
                  <c:v>-115.02205162047194</c:v>
                </c:pt>
                <c:pt idx="223">
                  <c:v>-114.91693481294752</c:v>
                </c:pt>
                <c:pt idx="224">
                  <c:v>-114.81289253405963</c:v>
                </c:pt>
                <c:pt idx="225">
                  <c:v>-114.70991112639925</c:v>
                </c:pt>
                <c:pt idx="226">
                  <c:v>-114.60544998909937</c:v>
                </c:pt>
                <c:pt idx="227">
                  <c:v>-114.50207486608693</c:v>
                </c:pt>
                <c:pt idx="228">
                  <c:v>-114.39977171284136</c:v>
                </c:pt>
                <c:pt idx="229">
                  <c:v>-114.29852670053391</c:v>
                </c:pt>
                <c:pt idx="230">
                  <c:v>-114.09436007617528</c:v>
                </c:pt>
                <c:pt idx="231">
                  <c:v>-113.9938848832154</c:v>
                </c:pt>
                <c:pt idx="232">
                  <c:v>-113.89446308439869</c:v>
                </c:pt>
                <c:pt idx="233">
                  <c:v>-113.79375798072563</c:v>
                </c:pt>
                <c:pt idx="234">
                  <c:v>-113.69412797088232</c:v>
                </c:pt>
                <c:pt idx="235">
                  <c:v>-113.59555877922806</c:v>
                </c:pt>
                <c:pt idx="236">
                  <c:v>-113.4980363584685</c:v>
                </c:pt>
                <c:pt idx="237">
                  <c:v>-113.39959972494687</c:v>
                </c:pt>
                <c:pt idx="238">
                  <c:v>-113.3022239374131</c:v>
                </c:pt>
                <c:pt idx="239">
                  <c:v>-113.20589478590745</c:v>
                </c:pt>
                <c:pt idx="240">
                  <c:v>-113.11059829119124</c:v>
                </c:pt>
                <c:pt idx="241">
                  <c:v>-113.01392343266907</c:v>
                </c:pt>
                <c:pt idx="242">
                  <c:v>-112.91830565703431</c:v>
                </c:pt>
                <c:pt idx="243">
                  <c:v>-112.82373061466357</c:v>
                </c:pt>
                <c:pt idx="244">
                  <c:v>-112.73018419339786</c:v>
                </c:pt>
                <c:pt idx="245">
                  <c:v>-112.63561333891585</c:v>
                </c:pt>
                <c:pt idx="246">
                  <c:v>-112.54208812528529</c:v>
                </c:pt>
                <c:pt idx="247">
                  <c:v>-112.44959422254809</c:v>
                </c:pt>
                <c:pt idx="248">
                  <c:v>-112.3581175414095</c:v>
                </c:pt>
                <c:pt idx="249">
                  <c:v>-112.26544998193604</c:v>
                </c:pt>
                <c:pt idx="250">
                  <c:v>-112.17382069407994</c:v>
                </c:pt>
                <c:pt idx="251">
                  <c:v>-112.08321528863186</c:v>
                </c:pt>
                <c:pt idx="252">
                  <c:v>-111.99361962194298</c:v>
                </c:pt>
                <c:pt idx="253">
                  <c:v>-111.9031553235974</c:v>
                </c:pt>
                <c:pt idx="254">
                  <c:v>-111.81371490981677</c:v>
                </c:pt>
                <c:pt idx="255">
                  <c:v>-111.72528408236199</c:v>
                </c:pt>
                <c:pt idx="256">
                  <c:v>-111.63784878996272</c:v>
                </c:pt>
                <c:pt idx="257">
                  <c:v>-111.54916841759442</c:v>
                </c:pt>
                <c:pt idx="258">
                  <c:v>-111.46150664697429</c:v>
                </c:pt>
                <c:pt idx="259">
                  <c:v>-111.37484908504044</c:v>
                </c:pt>
                <c:pt idx="260">
                  <c:v>-111.28918159131672</c:v>
                </c:pt>
                <c:pt idx="261">
                  <c:v>-111.2025767077635</c:v>
                </c:pt>
                <c:pt idx="262">
                  <c:v>-111.11697827681226</c:v>
                </c:pt>
                <c:pt idx="263">
                  <c:v>-111.0323719589941</c:v>
                </c:pt>
                <c:pt idx="264">
                  <c:v>-110.94874366954144</c:v>
                </c:pt>
                <c:pt idx="265">
                  <c:v>-110.8642534401075</c:v>
                </c:pt>
                <c:pt idx="266">
                  <c:v>-110.78075621960686</c:v>
                </c:pt>
                <c:pt idx="267">
                  <c:v>-110.69823775509377</c:v>
                </c:pt>
                <c:pt idx="268">
                  <c:v>-110.61668404956527</c:v>
                </c:pt>
                <c:pt idx="269">
                  <c:v>-110.53414608163581</c:v>
                </c:pt>
                <c:pt idx="270">
                  <c:v>-110.45259112494905</c:v>
                </c:pt>
                <c:pt idx="271">
                  <c:v>-110.37200494391183</c:v>
                </c:pt>
                <c:pt idx="272">
                  <c:v>-110.29237356168883</c:v>
                </c:pt>
                <c:pt idx="273">
                  <c:v>-110.21183860040048</c:v>
                </c:pt>
                <c:pt idx="274">
                  <c:v>-110.1322751806301</c:v>
                </c:pt>
                <c:pt idx="275">
                  <c:v>-110.05366912012251</c:v>
                </c:pt>
                <c:pt idx="276">
                  <c:v>-109.97600649726417</c:v>
                </c:pt>
                <c:pt idx="277">
                  <c:v>-109.8976921555707</c:v>
                </c:pt>
                <c:pt idx="278">
                  <c:v>-109.82033228127298</c:v>
                </c:pt>
                <c:pt idx="279">
                  <c:v>-109.74391287305939</c:v>
                </c:pt>
                <c:pt idx="280">
                  <c:v>-109.66842018892542</c:v>
                </c:pt>
                <c:pt idx="281">
                  <c:v>-109.59183310867994</c:v>
                </c:pt>
                <c:pt idx="282">
                  <c:v>-109.51619506910106</c:v>
                </c:pt>
                <c:pt idx="283">
                  <c:v>-109.44149199835448</c:v>
                </c:pt>
                <c:pt idx="284">
                  <c:v>-109.36771008871443</c:v>
                </c:pt>
                <c:pt idx="285">
                  <c:v>-109.29340338433586</c:v>
                </c:pt>
                <c:pt idx="286">
                  <c:v>-109.22002645410947</c:v>
                </c:pt>
                <c:pt idx="287">
                  <c:v>-109.1475654660936</c:v>
                </c:pt>
                <c:pt idx="288">
                  <c:v>-109.07600684945157</c:v>
                </c:pt>
                <c:pt idx="289">
                  <c:v>-109.00352130373147</c:v>
                </c:pt>
                <c:pt idx="290">
                  <c:v>-108.93195729257066</c:v>
                </c:pt>
                <c:pt idx="291">
                  <c:v>-108.86130098344478</c:v>
                </c:pt>
                <c:pt idx="292">
                  <c:v>-108.79153880788434</c:v>
                </c:pt>
                <c:pt idx="293">
                  <c:v>-108.72107596773736</c:v>
                </c:pt>
                <c:pt idx="294">
                  <c:v>-108.65152115107507</c:v>
                </c:pt>
                <c:pt idx="295">
                  <c:v>-108.58286064651919</c:v>
                </c:pt>
                <c:pt idx="296">
                  <c:v>-108.51508100655634</c:v>
                </c:pt>
                <c:pt idx="297">
                  <c:v>-108.44666760228704</c:v>
                </c:pt>
                <c:pt idx="298">
                  <c:v>-108.3791476820378</c:v>
                </c:pt>
                <c:pt idx="299">
                  <c:v>-108.31250768352992</c:v>
                </c:pt>
                <c:pt idx="300">
                  <c:v>-108.24673430735758</c:v>
                </c:pt>
                <c:pt idx="301">
                  <c:v>-108.18039007703909</c:v>
                </c:pt>
                <c:pt idx="302">
                  <c:v>-108.11492389690325</c:v>
                </c:pt>
                <c:pt idx="303">
                  <c:v>-108.05032237901074</c:v>
                </c:pt>
                <c:pt idx="304">
                  <c:v>-107.9865723965582</c:v>
                </c:pt>
                <c:pt idx="305">
                  <c:v>-107.92206517664987</c:v>
                </c:pt>
                <c:pt idx="306">
                  <c:v>-107.85842639668816</c:v>
                </c:pt>
                <c:pt idx="307">
                  <c:v>-107.79564271436735</c:v>
                </c:pt>
                <c:pt idx="308">
                  <c:v>-107.73370105005183</c:v>
                </c:pt>
                <c:pt idx="309">
                  <c:v>-107.67130959919616</c:v>
                </c:pt>
                <c:pt idx="310">
                  <c:v>-107.60976927758252</c:v>
                </c:pt>
                <c:pt idx="311">
                  <c:v>-107.54906696928848</c:v>
                </c:pt>
                <c:pt idx="312">
                  <c:v>-107.48918981779565</c:v>
                </c:pt>
                <c:pt idx="313">
                  <c:v>-107.42869466609724</c:v>
                </c:pt>
                <c:pt idx="314">
                  <c:v>-107.3690389099468</c:v>
                </c:pt>
                <c:pt idx="315">
                  <c:v>-107.31020953586714</c:v>
                </c:pt>
                <c:pt idx="316">
                  <c:v>-107.2521937896942</c:v>
                </c:pt>
                <c:pt idx="317">
                  <c:v>-107.19362658057854</c:v>
                </c:pt>
                <c:pt idx="318">
                  <c:v>-107.13588595517042</c:v>
                </c:pt>
                <c:pt idx="319">
                  <c:v>-107.07895903107364</c:v>
                </c:pt>
                <c:pt idx="320">
                  <c:v>-107.02283318429396</c:v>
                </c:pt>
                <c:pt idx="321">
                  <c:v>-106.9662184192252</c:v>
                </c:pt>
                <c:pt idx="322">
                  <c:v>-106.91041648260405</c:v>
                </c:pt>
                <c:pt idx="323">
                  <c:v>-106.85541464902032</c:v>
                </c:pt>
                <c:pt idx="324">
                  <c:v>-106.80120044979321</c:v>
                </c:pt>
                <c:pt idx="325">
                  <c:v>-106.74655606644299</c:v>
                </c:pt>
                <c:pt idx="326">
                  <c:v>-106.69270994093772</c:v>
                </c:pt>
                <c:pt idx="327">
                  <c:v>-106.63964952805534</c:v>
                </c:pt>
                <c:pt idx="328">
                  <c:v>-106.58736253693155</c:v>
                </c:pt>
                <c:pt idx="329">
                  <c:v>-106.53461306377413</c:v>
                </c:pt>
                <c:pt idx="330">
                  <c:v>-106.4826491834685</c:v>
                </c:pt>
                <c:pt idx="331">
                  <c:v>-106.43145849014678</c:v>
                </c:pt>
                <c:pt idx="332">
                  <c:v>-106.38102883095563</c:v>
                </c:pt>
                <c:pt idx="333">
                  <c:v>-106.33027830921837</c:v>
                </c:pt>
                <c:pt idx="334">
                  <c:v>-106.28029734689576</c:v>
                </c:pt>
                <c:pt idx="335">
                  <c:v>-106.23107376089607</c:v>
                </c:pt>
                <c:pt idx="336">
                  <c:v>-106.18259561746285</c:v>
                </c:pt>
                <c:pt idx="337">
                  <c:v>-106.13369013523719</c:v>
                </c:pt>
                <c:pt idx="338">
                  <c:v>-106.08554250160326</c:v>
                </c:pt>
                <c:pt idx="339">
                  <c:v>-106.03814065780922</c:v>
                </c:pt>
                <c:pt idx="340">
                  <c:v>-105.99147279336638</c:v>
                </c:pt>
                <c:pt idx="341">
                  <c:v>-105.94443692021024</c:v>
                </c:pt>
                <c:pt idx="342">
                  <c:v>-105.89814627514023</c:v>
                </c:pt>
                <c:pt idx="343">
                  <c:v>-105.85258894860154</c:v>
                </c:pt>
                <c:pt idx="344">
                  <c:v>-105.80775327749323</c:v>
                </c:pt>
                <c:pt idx="345">
                  <c:v>-105.76267343039395</c:v>
                </c:pt>
                <c:pt idx="346">
                  <c:v>-105.71832319637606</c:v>
                </c:pt>
                <c:pt idx="347">
                  <c:v>-105.67469089025015</c:v>
                </c:pt>
                <c:pt idx="348">
                  <c:v>-105.63176506933422</c:v>
                </c:pt>
                <c:pt idx="349">
                  <c:v>-105.58851310692644</c:v>
                </c:pt>
                <c:pt idx="350">
                  <c:v>-105.54597895827619</c:v>
                </c:pt>
                <c:pt idx="351">
                  <c:v>-105.50415107481902</c:v>
                </c:pt>
                <c:pt idx="352">
                  <c:v>-105.46301814890407</c:v>
                </c:pt>
                <c:pt idx="353">
                  <c:v>-105.42161428096982</c:v>
                </c:pt>
                <c:pt idx="354">
                  <c:v>-105.38091561795851</c:v>
                </c:pt>
                <c:pt idx="355">
                  <c:v>-105.34091077046101</c:v>
                </c:pt>
                <c:pt idx="356">
                  <c:v>-105.30158858770785</c:v>
                </c:pt>
                <c:pt idx="357">
                  <c:v>-105.26210288387183</c:v>
                </c:pt>
                <c:pt idx="358">
                  <c:v>-105.22330713427594</c:v>
                </c:pt>
                <c:pt idx="359">
                  <c:v>-105.18519017583428</c:v>
                </c:pt>
                <c:pt idx="360">
                  <c:v>-105.14774107988985</c:v>
                </c:pt>
                <c:pt idx="361">
                  <c:v>-105.11006749075771</c:v>
                </c:pt>
                <c:pt idx="362">
                  <c:v>-105.07307197871717</c:v>
                </c:pt>
                <c:pt idx="363">
                  <c:v>-105.03674352879032</c:v>
                </c:pt>
                <c:pt idx="364">
                  <c:v>-105.00107135833646</c:v>
                </c:pt>
                <c:pt idx="365">
                  <c:v>-104.96527380016249</c:v>
                </c:pt>
                <c:pt idx="366">
                  <c:v>-104.93013994600805</c:v>
                </c:pt>
                <c:pt idx="367">
                  <c:v>-104.89565899267365</c:v>
                </c:pt>
                <c:pt idx="368">
                  <c:v>-104.86182036536114</c:v>
                </c:pt>
                <c:pt idx="369">
                  <c:v>-104.82780942332928</c:v>
                </c:pt>
                <c:pt idx="370">
                  <c:v>-104.79445085094279</c:v>
                </c:pt>
                <c:pt idx="371">
                  <c:v>-104.76173398591985</c:v>
                </c:pt>
                <c:pt idx="372">
                  <c:v>-104.7296483923763</c:v>
                </c:pt>
                <c:pt idx="373">
                  <c:v>-104.69748152331336</c:v>
                </c:pt>
                <c:pt idx="374">
                  <c:v>-104.66595334223145</c:v>
                </c:pt>
                <c:pt idx="375">
                  <c:v>-104.6350533879075</c:v>
                </c:pt>
                <c:pt idx="376">
                  <c:v>-104.604771421761</c:v>
                </c:pt>
                <c:pt idx="377">
                  <c:v>-104.57437374789755</c:v>
                </c:pt>
                <c:pt idx="378">
                  <c:v>-104.54460382407136</c:v>
                </c:pt>
                <c:pt idx="379">
                  <c:v>-104.51545132576396</c:v>
                </c:pt>
                <c:pt idx="380">
                  <c:v>-104.4869061491094</c:v>
                </c:pt>
                <c:pt idx="381">
                  <c:v>-104.45836349228999</c:v>
                </c:pt>
                <c:pt idx="382">
                  <c:v>-104.43043394199884</c:v>
                </c:pt>
                <c:pt idx="383">
                  <c:v>-104.40310740418617</c:v>
                </c:pt>
                <c:pt idx="384">
                  <c:v>-104.37637400074838</c:v>
                </c:pt>
                <c:pt idx="385">
                  <c:v>-104.34958331383513</c:v>
                </c:pt>
                <c:pt idx="386">
                  <c:v>-104.3233951914404</c:v>
                </c:pt>
                <c:pt idx="387">
                  <c:v>-104.29779967181277</c:v>
                </c:pt>
                <c:pt idx="388">
                  <c:v>-104.2727870071774</c:v>
                </c:pt>
                <c:pt idx="389">
                  <c:v>-104.24779283642917</c:v>
                </c:pt>
                <c:pt idx="390">
                  <c:v>-104.22338863547249</c:v>
                </c:pt>
                <c:pt idx="391">
                  <c:v>-104.19956462792176</c:v>
                </c:pt>
                <c:pt idx="392">
                  <c:v>-104.17631124783614</c:v>
                </c:pt>
                <c:pt idx="393">
                  <c:v>-104.15311587328607</c:v>
                </c:pt>
                <c:pt idx="394">
                  <c:v>-104.13049746905374</c:v>
                </c:pt>
                <c:pt idx="395">
                  <c:v>-104.1084464567857</c:v>
                </c:pt>
                <c:pt idx="396">
                  <c:v>-104.08695346462412</c:v>
                </c:pt>
                <c:pt idx="397">
                  <c:v>-104.065507599588</c:v>
                </c:pt>
                <c:pt idx="398">
                  <c:v>-104.0446279151345</c:v>
                </c:pt>
                <c:pt idx="399">
                  <c:v>-104.02430497853915</c:v>
                </c:pt>
                <c:pt idx="400">
                  <c:v>-104.00452956107544</c:v>
                </c:pt>
                <c:pt idx="401">
                  <c:v>-103.98486453622588</c:v>
                </c:pt>
                <c:pt idx="402">
                  <c:v>-103.96575313987174</c:v>
                </c:pt>
                <c:pt idx="403">
                  <c:v>-103.94718613101608</c:v>
                </c:pt>
                <c:pt idx="404">
                  <c:v>-103.92915446878992</c:v>
                </c:pt>
                <c:pt idx="405">
                  <c:v>-103.91124973199706</c:v>
                </c:pt>
                <c:pt idx="406">
                  <c:v>-103.89388691650947</c:v>
                </c:pt>
                <c:pt idx="407">
                  <c:v>-103.87705695432481</c:v>
                </c:pt>
                <c:pt idx="408">
                  <c:v>-103.86075097418734</c:v>
                </c:pt>
                <c:pt idx="409">
                  <c:v>-103.84459173437372</c:v>
                </c:pt>
                <c:pt idx="410">
                  <c:v>-103.82896343637422</c:v>
                </c:pt>
                <c:pt idx="411">
                  <c:v>-103.81385716908407</c:v>
                </c:pt>
                <c:pt idx="412">
                  <c:v>-103.79926421518152</c:v>
                </c:pt>
                <c:pt idx="413">
                  <c:v>-103.78485536937322</c:v>
                </c:pt>
                <c:pt idx="414">
                  <c:v>-103.77096604745245</c:v>
                </c:pt>
                <c:pt idx="415">
                  <c:v>-103.75758750818753</c:v>
                </c:pt>
                <c:pt idx="416">
                  <c:v>-103.74471120074659</c:v>
                </c:pt>
                <c:pt idx="417">
                  <c:v>-103.73204137800718</c:v>
                </c:pt>
                <c:pt idx="418">
                  <c:v>-103.71988031717646</c:v>
                </c:pt>
                <c:pt idx="419">
                  <c:v>-103.70821943232298</c:v>
                </c:pt>
                <c:pt idx="420">
                  <c:v>-103.69705032490887</c:v>
                </c:pt>
                <c:pt idx="421">
                  <c:v>-103.68613368581573</c:v>
                </c:pt>
                <c:pt idx="422">
                  <c:v>-103.67571366827427</c:v>
                </c:pt>
                <c:pt idx="423">
                  <c:v>-103.66578187829887</c:v>
                </c:pt>
                <c:pt idx="424">
                  <c:v>-103.65633010518404</c:v>
                </c:pt>
                <c:pt idx="425">
                  <c:v>-103.64713523975766</c:v>
                </c:pt>
                <c:pt idx="426">
                  <c:v>-103.63842742179882</c:v>
                </c:pt>
                <c:pt idx="427">
                  <c:v>-103.63019838620124</c:v>
                </c:pt>
                <c:pt idx="428">
                  <c:v>-103.62244004881296</c:v>
                </c:pt>
                <c:pt idx="429">
                  <c:v>-103.61498170036873</c:v>
                </c:pt>
                <c:pt idx="430">
                  <c:v>-103.60799944545404</c:v>
                </c:pt>
                <c:pt idx="431">
                  <c:v>-103.60148518429538</c:v>
                </c:pt>
                <c:pt idx="432">
                  <c:v>-103.59543099464797</c:v>
                </c:pt>
                <c:pt idx="433">
                  <c:v>-103.58970803993981</c:v>
                </c:pt>
                <c:pt idx="434">
                  <c:v>-103.58444992021296</c:v>
                </c:pt>
                <c:pt idx="435">
                  <c:v>-103.57964871042617</c:v>
                </c:pt>
                <c:pt idx="436">
                  <c:v>-103.57529665932556</c:v>
                </c:pt>
                <c:pt idx="437">
                  <c:v>-103.57129815740095</c:v>
                </c:pt>
                <c:pt idx="438">
                  <c:v>-103.56775461002749</c:v>
                </c:pt>
                <c:pt idx="439">
                  <c:v>-103.5646582332778</c:v>
                </c:pt>
                <c:pt idx="440">
                  <c:v>-103.56200141420966</c:v>
                </c:pt>
                <c:pt idx="441">
                  <c:v>-103.55972992622357</c:v>
                </c:pt>
                <c:pt idx="442">
                  <c:v>-103.55790313278322</c:v>
                </c:pt>
                <c:pt idx="443">
                  <c:v>-103.55651340203551</c:v>
                </c:pt>
                <c:pt idx="444">
                  <c:v>-103.5555532699525</c:v>
                </c:pt>
                <c:pt idx="445">
                  <c:v>-103.55500804478882</c:v>
                </c:pt>
                <c:pt idx="446">
                  <c:v>-103.55489694372656</c:v>
                </c:pt>
                <c:pt idx="447">
                  <c:v>-103.55521249623712</c:v>
                </c:pt>
                <c:pt idx="448">
                  <c:v>-103.55594739614851</c:v>
                </c:pt>
                <c:pt idx="449">
                  <c:v>-103.55712702511526</c:v>
                </c:pt>
                <c:pt idx="450">
                  <c:v>-103.55873136893658</c:v>
                </c:pt>
                <c:pt idx="451">
                  <c:v>-103.56075308968337</c:v>
                </c:pt>
                <c:pt idx="452">
                  <c:v>-103.5631850111173</c:v>
                </c:pt>
                <c:pt idx="453">
                  <c:v>-103.5660887749096</c:v>
                </c:pt>
                <c:pt idx="454">
                  <c:v>-103.56940680575504</c:v>
                </c:pt>
                <c:pt idx="455">
                  <c:v>-103.57313192612585</c:v>
                </c:pt>
                <c:pt idx="456">
                  <c:v>-103.57725711666906</c:v>
                </c:pt>
                <c:pt idx="457">
                  <c:v>-103.58188746164832</c:v>
                </c:pt>
                <c:pt idx="458">
                  <c:v>-103.58692269252808</c:v>
                </c:pt>
                <c:pt idx="459">
                  <c:v>-103.59235576554171</c:v>
                </c:pt>
                <c:pt idx="460">
                  <c:v>-103.59817979232623</c:v>
                </c:pt>
                <c:pt idx="461">
                  <c:v>-103.6045364553642</c:v>
                </c:pt>
                <c:pt idx="462">
                  <c:v>-103.61128829796496</c:v>
                </c:pt>
                <c:pt idx="463">
                  <c:v>-103.61842841933002</c:v>
                </c:pt>
                <c:pt idx="464">
                  <c:v>-103.62595007098903</c:v>
                </c:pt>
                <c:pt idx="465">
                  <c:v>-103.63403617292936</c:v>
                </c:pt>
                <c:pt idx="466">
                  <c:v>-103.64250806708435</c:v>
                </c:pt>
                <c:pt idx="467">
                  <c:v>-103.65135898800033</c:v>
                </c:pt>
                <c:pt idx="468">
                  <c:v>-103.66058231966653</c:v>
                </c:pt>
                <c:pt idx="469">
                  <c:v>-103.67039542890279</c:v>
                </c:pt>
                <c:pt idx="470">
                  <c:v>-103.68058465880112</c:v>
                </c:pt>
                <c:pt idx="471">
                  <c:v>-103.69114338730324</c:v>
                </c:pt>
                <c:pt idx="472">
                  <c:v>-103.70206513863947</c:v>
                </c:pt>
                <c:pt idx="473">
                  <c:v>-103.71361722451373</c:v>
                </c:pt>
                <c:pt idx="474">
                  <c:v>-103.72553659169097</c:v>
                </c:pt>
                <c:pt idx="475">
                  <c:v>-103.73781674007056</c:v>
                </c:pt>
                <c:pt idx="476">
                  <c:v>-103.75045131328375</c:v>
                </c:pt>
                <c:pt idx="477">
                  <c:v>-103.76374100637454</c:v>
                </c:pt>
                <c:pt idx="478">
                  <c:v>-103.77738882615256</c:v>
                </c:pt>
                <c:pt idx="479">
                  <c:v>-103.79138840305188</c:v>
                </c:pt>
                <c:pt idx="480">
                  <c:v>-103.80573350839948</c:v>
                </c:pt>
                <c:pt idx="481">
                  <c:v>-103.82075665025793</c:v>
                </c:pt>
                <c:pt idx="482">
                  <c:v>-103.83612850505212</c:v>
                </c:pt>
                <c:pt idx="483">
                  <c:v>-103.85184284091754</c:v>
                </c:pt>
                <c:pt idx="484">
                  <c:v>-103.86789356380298</c:v>
                </c:pt>
                <c:pt idx="485">
                  <c:v>-103.88465499818703</c:v>
                </c:pt>
                <c:pt idx="486">
                  <c:v>-103.90175598196508</c:v>
                </c:pt>
                <c:pt idx="487">
                  <c:v>-103.91919041451595</c:v>
                </c:pt>
                <c:pt idx="488">
                  <c:v>-103.9369523301128</c:v>
                </c:pt>
                <c:pt idx="489">
                  <c:v>-103.95547062418665</c:v>
                </c:pt>
                <c:pt idx="490">
                  <c:v>-103.97431995377592</c:v>
                </c:pt>
                <c:pt idx="491">
                  <c:v>-103.99349433200922</c:v>
                </c:pt>
                <c:pt idx="492">
                  <c:v>-104.01298790447676</c:v>
                </c:pt>
                <c:pt idx="493">
                  <c:v>-104.03325956777523</c:v>
                </c:pt>
                <c:pt idx="494">
                  <c:v>-104.05385346061695</c:v>
                </c:pt>
                <c:pt idx="495">
                  <c:v>-104.07476371750801</c:v>
                </c:pt>
                <c:pt idx="496">
                  <c:v>-104.09598460273286</c:v>
                </c:pt>
                <c:pt idx="497">
                  <c:v>-104.11801764307135</c:v>
                </c:pt>
                <c:pt idx="498">
                  <c:v>-104.14036426007735</c:v>
                </c:pt>
                <c:pt idx="499">
                  <c:v>-104.16301870516229</c:v>
                </c:pt>
                <c:pt idx="500">
                  <c:v>-104.18597535693839</c:v>
                </c:pt>
                <c:pt idx="501">
                  <c:v>-104.20977851031348</c:v>
                </c:pt>
                <c:pt idx="502">
                  <c:v>-104.23388671361796</c:v>
                </c:pt>
                <c:pt idx="503">
                  <c:v>-104.25829433122664</c:v>
                </c:pt>
                <c:pt idx="504">
                  <c:v>-104.28299585222913</c:v>
                </c:pt>
                <c:pt idx="505">
                  <c:v>-104.30856282473434</c:v>
                </c:pt>
                <c:pt idx="506">
                  <c:v>-104.33442606616943</c:v>
                </c:pt>
                <c:pt idx="507">
                  <c:v>-104.36058006032742</c:v>
                </c:pt>
                <c:pt idx="508">
                  <c:v>-104.38701941301733</c:v>
                </c:pt>
                <c:pt idx="509">
                  <c:v>-104.41435783883807</c:v>
                </c:pt>
                <c:pt idx="510">
                  <c:v>-104.4419838816344</c:v>
                </c:pt>
                <c:pt idx="511">
                  <c:v>-104.46989214042402</c:v>
                </c:pt>
                <c:pt idx="512">
                  <c:v>-104.49807733364337</c:v>
                </c:pt>
                <c:pt idx="513">
                  <c:v>-104.52721228789052</c:v>
                </c:pt>
                <c:pt idx="514">
                  <c:v>-104.55662663293002</c:v>
                </c:pt>
                <c:pt idx="515">
                  <c:v>-104.58631507017033</c:v>
                </c:pt>
                <c:pt idx="516">
                  <c:v>-104.61627241819777</c:v>
                </c:pt>
                <c:pt idx="517">
                  <c:v>-104.64719666567932</c:v>
                </c:pt>
                <c:pt idx="518">
                  <c:v>-104.67839181269416</c:v>
                </c:pt>
                <c:pt idx="519">
                  <c:v>-104.70985266945468</c:v>
                </c:pt>
                <c:pt idx="520">
                  <c:v>-104.74157416090314</c:v>
                </c:pt>
                <c:pt idx="521">
                  <c:v>-104.77429629098926</c:v>
                </c:pt>
                <c:pt idx="522">
                  <c:v>-104.80728089554182</c:v>
                </c:pt>
                <c:pt idx="523">
                  <c:v>-104.84052289056012</c:v>
                </c:pt>
                <c:pt idx="524">
                  <c:v>-104.87401730439747</c:v>
                </c:pt>
                <c:pt idx="525">
                  <c:v>-104.90854600745192</c:v>
                </c:pt>
                <c:pt idx="526">
                  <c:v>-104.94332880835815</c:v>
                </c:pt>
                <c:pt idx="527">
                  <c:v>-104.97836072620599</c:v>
                </c:pt>
                <c:pt idx="528">
                  <c:v>-105.01363689012659</c:v>
                </c:pt>
                <c:pt idx="529">
                  <c:v>-105.0499808453371</c:v>
                </c:pt>
                <c:pt idx="530">
                  <c:v>-105.08657055413445</c:v>
                </c:pt>
                <c:pt idx="531">
                  <c:v>-105.12340113628692</c:v>
                </c:pt>
                <c:pt idx="532">
                  <c:v>-105.16046781934884</c:v>
                </c:pt>
                <c:pt idx="533">
                  <c:v>-105.19865535720044</c:v>
                </c:pt>
                <c:pt idx="534">
                  <c:v>-105.23708056482988</c:v>
                </c:pt>
                <c:pt idx="535">
                  <c:v>-105.27573865319823</c:v>
                </c:pt>
                <c:pt idx="536">
                  <c:v>-105.31462493906518</c:v>
                </c:pt>
                <c:pt idx="537">
                  <c:v>-105.35462534705128</c:v>
                </c:pt>
                <c:pt idx="538">
                  <c:v>-105.39485485046765</c:v>
                </c:pt>
                <c:pt idx="539">
                  <c:v>-105.43530876440317</c:v>
                </c:pt>
                <c:pt idx="540">
                  <c:v>-105.47598250736881</c:v>
                </c:pt>
                <c:pt idx="541">
                  <c:v>-105.51784379644884</c:v>
                </c:pt>
                <c:pt idx="542">
                  <c:v>-105.5599260672348</c:v>
                </c:pt>
                <c:pt idx="543">
                  <c:v>-105.60222472295152</c:v>
                </c:pt>
                <c:pt idx="544">
                  <c:v>-105.64473526833223</c:v>
                </c:pt>
                <c:pt idx="545">
                  <c:v>-105.68844525690669</c:v>
                </c:pt>
                <c:pt idx="546">
                  <c:v>-105.73236785785528</c:v>
                </c:pt>
                <c:pt idx="547">
                  <c:v>-105.77649856819616</c:v>
                </c:pt>
                <c:pt idx="548">
                  <c:v>-105.82083298437227</c:v>
                </c:pt>
                <c:pt idx="549">
                  <c:v>-105.86639880779994</c:v>
                </c:pt>
                <c:pt idx="550">
                  <c:v>-105.91216884718447</c:v>
                </c:pt>
                <c:pt idx="551">
                  <c:v>-105.95813869193876</c:v>
                </c:pt>
                <c:pt idx="552">
                  <c:v>-106.00430402885654</c:v>
                </c:pt>
                <c:pt idx="553">
                  <c:v>-106.05175416736408</c:v>
                </c:pt>
                <c:pt idx="554">
                  <c:v>-106.09940026765274</c:v>
                </c:pt>
                <c:pt idx="555">
                  <c:v>-106.14723800439056</c:v>
                </c:pt>
                <c:pt idx="556">
                  <c:v>-106.19526314779456</c:v>
                </c:pt>
                <c:pt idx="557">
                  <c:v>-106.29413378960885</c:v>
                </c:pt>
                <c:pt idx="558">
                  <c:v>-106.39373809442847</c:v>
                </c:pt>
                <c:pt idx="559">
                  <c:v>-106.4963503425614</c:v>
                </c:pt>
                <c:pt idx="560">
                  <c:v>-106.59966235447979</c:v>
                </c:pt>
                <c:pt idx="561">
                  <c:v>-106.70611686982471</c:v>
                </c:pt>
                <c:pt idx="562">
                  <c:v>-106.81323814218527</c:v>
                </c:pt>
                <c:pt idx="563">
                  <c:v>-106.92331377285633</c:v>
                </c:pt>
                <c:pt idx="564">
                  <c:v>-107.03402010478707</c:v>
                </c:pt>
                <c:pt idx="565">
                  <c:v>-107.14813997087026</c:v>
                </c:pt>
                <c:pt idx="566">
                  <c:v>-107.26285883972037</c:v>
                </c:pt>
                <c:pt idx="567">
                  <c:v>-107.38098832540305</c:v>
                </c:pt>
                <c:pt idx="568">
                  <c:v>-107.4996837924887</c:v>
                </c:pt>
                <c:pt idx="569">
                  <c:v>-107.62130542028086</c:v>
                </c:pt>
                <c:pt idx="570">
                  <c:v>-107.7434548144055</c:v>
                </c:pt>
                <c:pt idx="571">
                  <c:v>-107.86947673493458</c:v>
                </c:pt>
                <c:pt idx="572">
                  <c:v>-107.99599548459089</c:v>
                </c:pt>
                <c:pt idx="573">
                  <c:v>-108.12541029506399</c:v>
                </c:pt>
                <c:pt idx="574">
                  <c:v>-108.25528254232735</c:v>
                </c:pt>
                <c:pt idx="575">
                  <c:v>-108.389006325954</c:v>
                </c:pt>
                <c:pt idx="576">
                  <c:v>-108.52315428688223</c:v>
                </c:pt>
                <c:pt idx="577">
                  <c:v>-109.09517444838986</c:v>
                </c:pt>
                <c:pt idx="578">
                  <c:v>-109.67249494156995</c:v>
                </c:pt>
                <c:pt idx="579">
                  <c:v>-110.94904436195787</c:v>
                </c:pt>
                <c:pt idx="580">
                  <c:v>-112.35694354388357</c:v>
                </c:pt>
                <c:pt idx="581">
                  <c:v>-113.89600992433174</c:v>
                </c:pt>
                <c:pt idx="582">
                  <c:v>-115.56882585801716</c:v>
                </c:pt>
                <c:pt idx="583">
                  <c:v>-117.37595514528913</c:v>
                </c:pt>
                <c:pt idx="584">
                  <c:v>-119.32135907268626</c:v>
                </c:pt>
                <c:pt idx="585">
                  <c:v>-121.4082192786595</c:v>
                </c:pt>
                <c:pt idx="586">
                  <c:v>-123.64390369263363</c:v>
                </c:pt>
                <c:pt idx="587">
                  <c:v>-126.04120170287874</c:v>
                </c:pt>
                <c:pt idx="588">
                  <c:v>-128.61548685083872</c:v>
                </c:pt>
                <c:pt idx="589">
                  <c:v>-131.39458107206684</c:v>
                </c:pt>
                <c:pt idx="590">
                  <c:v>-134.41334699960166</c:v>
                </c:pt>
                <c:pt idx="591">
                  <c:v>-137.71947859213526</c:v>
                </c:pt>
                <c:pt idx="592">
                  <c:v>-141.37225041773669</c:v>
                </c:pt>
                <c:pt idx="593">
                  <c:v>-145.4439898703319</c:v>
                </c:pt>
                <c:pt idx="594">
                  <c:v>-150.01258532273474</c:v>
                </c:pt>
                <c:pt idx="595">
                  <c:v>-155.15727748387303</c:v>
                </c:pt>
                <c:pt idx="596">
                  <c:v>-160.93980668228505</c:v>
                </c:pt>
                <c:pt idx="597">
                  <c:v>-167.38620702890751</c:v>
                </c:pt>
                <c:pt idx="598">
                  <c:v>-174.45431900217389</c:v>
                </c:pt>
                <c:pt idx="599">
                  <c:v>-182.01752003832536</c:v>
                </c:pt>
                <c:pt idx="600">
                  <c:v>0</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59227</c:v>
                </c:pt>
                <c:pt idx="1">
                  <c:v>59227</c:v>
                </c:pt>
              </c:numCache>
            </c:numRef>
          </c:xVal>
          <c:yVal>
            <c:numRef>
              <c:f>'Stability Calculations'!$R$617:$R$618</c:f>
              <c:numCache>
                <c:formatCode>0.00</c:formatCode>
                <c:ptCount val="2"/>
                <c:pt idx="0">
                  <c:v>-103.71361722451373</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59227</c:v>
                </c:pt>
                <c:pt idx="1">
                  <c:v>1000000</c:v>
                </c:pt>
              </c:numCache>
            </c:numRef>
          </c:xVal>
          <c:yVal>
            <c:numRef>
              <c:f>'Stability Calculations'!$R$619:$R$620</c:f>
              <c:numCache>
                <c:formatCode>0.00</c:formatCode>
                <c:ptCount val="2"/>
                <c:pt idx="1">
                  <c:v>-103.71361722451373</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333333.33333333337</c:v>
                </c:pt>
              </c:numCache>
            </c:numRef>
          </c:xVal>
          <c:yVal>
            <c:numRef>
              <c:f>'Ch2 Stability Calculations'!$Q$627</c:f>
              <c:numCache>
                <c:formatCode>0.00</c:formatCode>
                <c:ptCount val="1"/>
                <c:pt idx="0">
                  <c:v>-15.890256502252715</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101.87843174614198</c:v>
                </c:pt>
                <c:pt idx="1">
                  <c:v>101.84817611329959</c:v>
                </c:pt>
                <c:pt idx="2">
                  <c:v>101.81208055679124</c:v>
                </c:pt>
                <c:pt idx="3">
                  <c:v>101.76907996975902</c:v>
                </c:pt>
                <c:pt idx="4">
                  <c:v>101.71797723911224</c:v>
                </c:pt>
                <c:pt idx="5">
                  <c:v>101.65726489243067</c:v>
                </c:pt>
                <c:pt idx="6">
                  <c:v>101.58540487041202</c:v>
                </c:pt>
                <c:pt idx="7">
                  <c:v>101.50052984555593</c:v>
                </c:pt>
                <c:pt idx="8">
                  <c:v>101.4006780785586</c:v>
                </c:pt>
                <c:pt idx="9">
                  <c:v>101.28355297723887</c:v>
                </c:pt>
                <c:pt idx="10">
                  <c:v>101.14682476185936</c:v>
                </c:pt>
                <c:pt idx="11">
                  <c:v>100.9879584381212</c:v>
                </c:pt>
                <c:pt idx="12">
                  <c:v>100.80426039999153</c:v>
                </c:pt>
                <c:pt idx="13">
                  <c:v>100.59332245233188</c:v>
                </c:pt>
                <c:pt idx="14">
                  <c:v>100.35250430903689</c:v>
                </c:pt>
                <c:pt idx="15">
                  <c:v>100.07962640458274</c:v>
                </c:pt>
                <c:pt idx="16">
                  <c:v>99.77274092816323</c:v>
                </c:pt>
                <c:pt idx="17">
                  <c:v>99.430411133527286</c:v>
                </c:pt>
                <c:pt idx="18">
                  <c:v>99.051581714796157</c:v>
                </c:pt>
                <c:pt idx="19">
                  <c:v>98.635990894248877</c:v>
                </c:pt>
                <c:pt idx="20">
                  <c:v>98.1838129818006</c:v>
                </c:pt>
                <c:pt idx="21">
                  <c:v>97.695997078057175</c:v>
                </c:pt>
                <c:pt idx="22">
                  <c:v>97.173839101697141</c:v>
                </c:pt>
                <c:pt idx="23">
                  <c:v>96.619326451787316</c:v>
                </c:pt>
                <c:pt idx="24">
                  <c:v>96.034525592229613</c:v>
                </c:pt>
                <c:pt idx="25">
                  <c:v>95.421964368571523</c:v>
                </c:pt>
                <c:pt idx="26">
                  <c:v>94.784057580936036</c:v>
                </c:pt>
                <c:pt idx="27">
                  <c:v>94.123591274447875</c:v>
                </c:pt>
                <c:pt idx="28">
                  <c:v>93.443070553339425</c:v>
                </c:pt>
                <c:pt idx="29">
                  <c:v>92.74533721162453</c:v>
                </c:pt>
                <c:pt idx="30">
                  <c:v>92.031432632658181</c:v>
                </c:pt>
                <c:pt idx="31">
                  <c:v>91.304372808311243</c:v>
                </c:pt>
                <c:pt idx="32">
                  <c:v>90.565490616788992</c:v>
                </c:pt>
                <c:pt idx="33">
                  <c:v>89.816926202621005</c:v>
                </c:pt>
                <c:pt idx="34">
                  <c:v>89.05950980087519</c:v>
                </c:pt>
                <c:pt idx="35">
                  <c:v>88.294877627044656</c:v>
                </c:pt>
                <c:pt idx="36">
                  <c:v>87.523946735175656</c:v>
                </c:pt>
                <c:pt idx="37">
                  <c:v>86.747164333876441</c:v>
                </c:pt>
                <c:pt idx="38">
                  <c:v>85.965985496128468</c:v>
                </c:pt>
                <c:pt idx="39">
                  <c:v>85.180360703570585</c:v>
                </c:pt>
                <c:pt idx="40">
                  <c:v>84.391039387821749</c:v>
                </c:pt>
                <c:pt idx="41">
                  <c:v>83.598293176858618</c:v>
                </c:pt>
                <c:pt idx="42">
                  <c:v>82.802464269445991</c:v>
                </c:pt>
                <c:pt idx="43">
                  <c:v>82.00344985095127</c:v>
                </c:pt>
                <c:pt idx="44">
                  <c:v>81.201495472043504</c:v>
                </c:pt>
                <c:pt idx="45">
                  <c:v>80.396375813831767</c:v>
                </c:pt>
                <c:pt idx="46">
                  <c:v>79.588091545708195</c:v>
                </c:pt>
                <c:pt idx="47">
                  <c:v>78.776204284084073</c:v>
                </c:pt>
                <c:pt idx="48">
                  <c:v>77.960541029786555</c:v>
                </c:pt>
                <c:pt idx="49">
                  <c:v>77.140403207183468</c:v>
                </c:pt>
                <c:pt idx="50">
                  <c:v>76.315298341282244</c:v>
                </c:pt>
                <c:pt idx="51">
                  <c:v>75.484273372682608</c:v>
                </c:pt>
                <c:pt idx="52">
                  <c:v>74.646678077389112</c:v>
                </c:pt>
                <c:pt idx="53">
                  <c:v>73.801398650519289</c:v>
                </c:pt>
                <c:pt idx="54">
                  <c:v>72.947704100076507</c:v>
                </c:pt>
                <c:pt idx="55">
                  <c:v>72.082684042480864</c:v>
                </c:pt>
                <c:pt idx="56">
                  <c:v>71.205870230431742</c:v>
                </c:pt>
                <c:pt idx="57">
                  <c:v>70.314793664849191</c:v>
                </c:pt>
                <c:pt idx="58">
                  <c:v>69.408015908821852</c:v>
                </c:pt>
                <c:pt idx="59">
                  <c:v>68.48257981838411</c:v>
                </c:pt>
                <c:pt idx="60">
                  <c:v>67.536595212169146</c:v>
                </c:pt>
                <c:pt idx="61">
                  <c:v>66.567423517236847</c:v>
                </c:pt>
                <c:pt idx="62">
                  <c:v>65.572001295695756</c:v>
                </c:pt>
                <c:pt idx="63">
                  <c:v>64.548819835944613</c:v>
                </c:pt>
                <c:pt idx="64">
                  <c:v>63.494780571956888</c:v>
                </c:pt>
                <c:pt idx="65">
                  <c:v>62.408283006314633</c:v>
                </c:pt>
                <c:pt idx="66">
                  <c:v>61.287658686983441</c:v>
                </c:pt>
                <c:pt idx="67">
                  <c:v>60.132005753861264</c:v>
                </c:pt>
                <c:pt idx="68">
                  <c:v>58.940516921677144</c:v>
                </c:pt>
                <c:pt idx="69">
                  <c:v>57.713684638562782</c:v>
                </c:pt>
                <c:pt idx="70">
                  <c:v>56.452094317293529</c:v>
                </c:pt>
                <c:pt idx="71">
                  <c:v>55.157457002545591</c:v>
                </c:pt>
                <c:pt idx="72">
                  <c:v>53.831509079897693</c:v>
                </c:pt>
                <c:pt idx="73">
                  <c:v>52.477063714733312</c:v>
                </c:pt>
                <c:pt idx="74">
                  <c:v>51.096631358164693</c:v>
                </c:pt>
                <c:pt idx="75">
                  <c:v>49.693545592662389</c:v>
                </c:pt>
                <c:pt idx="76">
                  <c:v>48.270775143330496</c:v>
                </c:pt>
                <c:pt idx="77">
                  <c:v>46.832172837124091</c:v>
                </c:pt>
                <c:pt idx="78">
                  <c:v>45.381134504305422</c:v>
                </c:pt>
                <c:pt idx="79">
                  <c:v>43.922028266060344</c:v>
                </c:pt>
                <c:pt idx="80">
                  <c:v>42.455831583421045</c:v>
                </c:pt>
                <c:pt idx="81">
                  <c:v>40.988025594397044</c:v>
                </c:pt>
                <c:pt idx="82">
                  <c:v>39.521048938160206</c:v>
                </c:pt>
                <c:pt idx="83">
                  <c:v>38.059382355112916</c:v>
                </c:pt>
                <c:pt idx="84">
                  <c:v>36.605346442880311</c:v>
                </c:pt>
                <c:pt idx="85">
                  <c:v>35.163219498387882</c:v>
                </c:pt>
                <c:pt idx="86">
                  <c:v>33.736231063943286</c:v>
                </c:pt>
                <c:pt idx="87">
                  <c:v>32.327046489599439</c:v>
                </c:pt>
                <c:pt idx="88">
                  <c:v>30.94034670082868</c:v>
                </c:pt>
                <c:pt idx="89">
                  <c:v>29.578195150451773</c:v>
                </c:pt>
                <c:pt idx="90">
                  <c:v>28.24405969586504</c:v>
                </c:pt>
                <c:pt idx="91">
                  <c:v>26.940423976697524</c:v>
                </c:pt>
                <c:pt idx="92">
                  <c:v>25.669616958196201</c:v>
                </c:pt>
                <c:pt idx="93">
                  <c:v>24.432882838573612</c:v>
                </c:pt>
                <c:pt idx="94">
                  <c:v>24.129311417221537</c:v>
                </c:pt>
                <c:pt idx="95">
                  <c:v>23.977423389077646</c:v>
                </c:pt>
                <c:pt idx="96">
                  <c:v>23.827826388853907</c:v>
                </c:pt>
                <c:pt idx="97">
                  <c:v>23.677073034977564</c:v>
                </c:pt>
                <c:pt idx="98">
                  <c:v>23.528598784847269</c:v>
                </c:pt>
                <c:pt idx="99">
                  <c:v>23.37894465791123</c:v>
                </c:pt>
                <c:pt idx="100">
                  <c:v>23.231558176110738</c:v>
                </c:pt>
                <c:pt idx="101">
                  <c:v>23.083082684977526</c:v>
                </c:pt>
                <c:pt idx="102">
                  <c:v>22.936860366941353</c:v>
                </c:pt>
                <c:pt idx="103">
                  <c:v>22.789420755417154</c:v>
                </c:pt>
                <c:pt idx="104">
                  <c:v>22.644223508565648</c:v>
                </c:pt>
                <c:pt idx="105">
                  <c:v>22.497901177148311</c:v>
                </c:pt>
                <c:pt idx="106">
                  <c:v>22.353807297211652</c:v>
                </c:pt>
                <c:pt idx="107">
                  <c:v>22.208674539570342</c:v>
                </c:pt>
                <c:pt idx="108">
                  <c:v>22.065753455323147</c:v>
                </c:pt>
                <c:pt idx="109">
                  <c:v>21.921776687295189</c:v>
                </c:pt>
                <c:pt idx="110">
                  <c:v>21.779995136015607</c:v>
                </c:pt>
                <c:pt idx="111">
                  <c:v>21.637050092885623</c:v>
                </c:pt>
                <c:pt idx="112">
                  <c:v>21.496286880571539</c:v>
                </c:pt>
                <c:pt idx="113">
                  <c:v>21.354446850306701</c:v>
                </c:pt>
                <c:pt idx="114">
                  <c:v>21.214772350544251</c:v>
                </c:pt>
                <c:pt idx="115">
                  <c:v>21.074013185182842</c:v>
                </c:pt>
                <c:pt idx="116">
                  <c:v>20.935403277923804</c:v>
                </c:pt>
                <c:pt idx="117">
                  <c:v>20.795703330333598</c:v>
                </c:pt>
                <c:pt idx="118">
                  <c:v>20.658136320751446</c:v>
                </c:pt>
                <c:pt idx="119">
                  <c:v>20.519559513440484</c:v>
                </c:pt>
                <c:pt idx="120">
                  <c:v>20.38309668183873</c:v>
                </c:pt>
                <c:pt idx="121">
                  <c:v>20.245617865569542</c:v>
                </c:pt>
                <c:pt idx="122">
                  <c:v>20.110234121622241</c:v>
                </c:pt>
                <c:pt idx="123">
                  <c:v>19.97375181613052</c:v>
                </c:pt>
                <c:pt idx="124">
                  <c:v>19.839348056284319</c:v>
                </c:pt>
                <c:pt idx="125">
                  <c:v>19.703924184364556</c:v>
                </c:pt>
                <c:pt idx="126">
                  <c:v>19.570559775272944</c:v>
                </c:pt>
                <c:pt idx="127">
                  <c:v>19.436174474404385</c:v>
                </c:pt>
                <c:pt idx="128">
                  <c:v>19.303829478486165</c:v>
                </c:pt>
                <c:pt idx="129">
                  <c:v>19.170464272548855</c:v>
                </c:pt>
                <c:pt idx="130">
                  <c:v>19.039120109140462</c:v>
                </c:pt>
                <c:pt idx="131">
                  <c:v>18.906757716655211</c:v>
                </c:pt>
                <c:pt idx="132">
                  <c:v>18.841330606852765</c:v>
                </c:pt>
                <c:pt idx="133">
                  <c:v>18.776396977727597</c:v>
                </c:pt>
                <c:pt idx="134">
                  <c:v>18.710423907289332</c:v>
                </c:pt>
                <c:pt idx="135">
                  <c:v>18.644953833137489</c:v>
                </c:pt>
                <c:pt idx="136">
                  <c:v>18.579979761403521</c:v>
                </c:pt>
                <c:pt idx="137">
                  <c:v>18.515494830096056</c:v>
                </c:pt>
                <c:pt idx="138">
                  <c:v>18.450044752995268</c:v>
                </c:pt>
                <c:pt idx="139">
                  <c:v>18.385092171187011</c:v>
                </c:pt>
                <c:pt idx="140">
                  <c:v>18.320630153031278</c:v>
                </c:pt>
                <c:pt idx="141">
                  <c:v>18.256651898231564</c:v>
                </c:pt>
                <c:pt idx="142">
                  <c:v>18.191650642001271</c:v>
                </c:pt>
                <c:pt idx="143">
                  <c:v>18.127142350888285</c:v>
                </c:pt>
                <c:pt idx="144">
                  <c:v>18.063120137316933</c:v>
                </c:pt>
                <c:pt idx="145">
                  <c:v>17.999577244961205</c:v>
                </c:pt>
                <c:pt idx="146">
                  <c:v>17.935051629363436</c:v>
                </c:pt>
                <c:pt idx="147">
                  <c:v>17.871013896141484</c:v>
                </c:pt>
                <c:pt idx="148">
                  <c:v>17.807457215369009</c:v>
                </c:pt>
                <c:pt idx="149">
                  <c:v>17.744374887912407</c:v>
                </c:pt>
                <c:pt idx="150">
                  <c:v>17.680318088457195</c:v>
                </c:pt>
                <c:pt idx="151">
                  <c:v>17.616744050247281</c:v>
                </c:pt>
                <c:pt idx="152">
                  <c:v>17.553646003919006</c:v>
                </c:pt>
                <c:pt idx="153">
                  <c:v>17.491017310346951</c:v>
                </c:pt>
                <c:pt idx="154">
                  <c:v>17.427393566790354</c:v>
                </c:pt>
                <c:pt idx="155">
                  <c:v>17.364247863923083</c:v>
                </c:pt>
                <c:pt idx="156">
                  <c:v>17.301573486647683</c:v>
                </c:pt>
                <c:pt idx="157">
                  <c:v>17.239363849686672</c:v>
                </c:pt>
                <c:pt idx="158">
                  <c:v>17.176169315642195</c:v>
                </c:pt>
                <c:pt idx="159">
                  <c:v>17.113448028127657</c:v>
                </c:pt>
                <c:pt idx="160">
                  <c:v>17.051193329938762</c:v>
                </c:pt>
                <c:pt idx="161">
                  <c:v>16.989398693153856</c:v>
                </c:pt>
                <c:pt idx="162">
                  <c:v>16.926656966686142</c:v>
                </c:pt>
                <c:pt idx="163">
                  <c:v>16.864383216916249</c:v>
                </c:pt>
                <c:pt idx="164">
                  <c:v>16.802570856633189</c:v>
                </c:pt>
                <c:pt idx="165">
                  <c:v>16.741213427029539</c:v>
                </c:pt>
                <c:pt idx="166">
                  <c:v>16.678864878520091</c:v>
                </c:pt>
                <c:pt idx="167">
                  <c:v>16.616979804570679</c:v>
                </c:pt>
                <c:pt idx="168">
                  <c:v>16.555551673887031</c:v>
                </c:pt>
                <c:pt idx="169">
                  <c:v>16.494574083033644</c:v>
                </c:pt>
                <c:pt idx="170">
                  <c:v>16.432746578199577</c:v>
                </c:pt>
                <c:pt idx="171">
                  <c:v>16.371376046060284</c:v>
                </c:pt>
                <c:pt idx="172">
                  <c:v>16.310456055402195</c:v>
                </c:pt>
                <c:pt idx="173">
                  <c:v>16.249980301142557</c:v>
                </c:pt>
                <c:pt idx="174">
                  <c:v>16.188434653563551</c:v>
                </c:pt>
                <c:pt idx="175">
                  <c:v>16.127342895611704</c:v>
                </c:pt>
                <c:pt idx="176">
                  <c:v>16.066698626197478</c:v>
                </c:pt>
                <c:pt idx="177">
                  <c:v>16.006495570426338</c:v>
                </c:pt>
                <c:pt idx="178">
                  <c:v>15.945263300871463</c:v>
                </c:pt>
                <c:pt idx="179">
                  <c:v>15.884481267113507</c:v>
                </c:pt>
                <c:pt idx="180">
                  <c:v>15.824143112083391</c:v>
                </c:pt>
                <c:pt idx="181">
                  <c:v>15.764242604580705</c:v>
                </c:pt>
                <c:pt idx="182">
                  <c:v>15.703588617172247</c:v>
                </c:pt>
                <c:pt idx="183">
                  <c:v>15.643377249456158</c:v>
                </c:pt>
                <c:pt idx="184">
                  <c:v>15.583602273827694</c:v>
                </c:pt>
                <c:pt idx="185">
                  <c:v>15.524257585940804</c:v>
                </c:pt>
                <c:pt idx="186">
                  <c:v>15.463725706811866</c:v>
                </c:pt>
                <c:pt idx="187">
                  <c:v>15.403635384995482</c:v>
                </c:pt>
                <c:pt idx="188">
                  <c:v>15.343980386173719</c:v>
                </c:pt>
                <c:pt idx="189">
                  <c:v>15.28475460023156</c:v>
                </c:pt>
                <c:pt idx="190">
                  <c:v>15.224833928719239</c:v>
                </c:pt>
                <c:pt idx="191">
                  <c:v>15.165346576882326</c:v>
                </c:pt>
                <c:pt idx="192">
                  <c:v>15.10628645658889</c:v>
                </c:pt>
                <c:pt idx="193">
                  <c:v>15.047647600778953</c:v>
                </c:pt>
                <c:pt idx="194">
                  <c:v>14.987903239150951</c:v>
                </c:pt>
                <c:pt idx="195">
                  <c:v>14.928590165962817</c:v>
                </c:pt>
                <c:pt idx="196">
                  <c:v>14.869702310471498</c:v>
                </c:pt>
                <c:pt idx="197">
                  <c:v>14.811233723247222</c:v>
                </c:pt>
                <c:pt idx="198">
                  <c:v>14.751911874966876</c:v>
                </c:pt>
                <c:pt idx="199">
                  <c:v>14.693015670913692</c:v>
                </c:pt>
                <c:pt idx="200">
                  <c:v>14.634539135340647</c:v>
                </c:pt>
                <c:pt idx="201">
                  <c:v>14.576476411963387</c:v>
                </c:pt>
                <c:pt idx="202">
                  <c:v>14.517590728351422</c:v>
                </c:pt>
                <c:pt idx="203">
                  <c:v>14.459124799215166</c:v>
                </c:pt>
                <c:pt idx="204">
                  <c:v>14.401072750485051</c:v>
                </c:pt>
                <c:pt idx="205">
                  <c:v>14.343428825488722</c:v>
                </c:pt>
                <c:pt idx="206">
                  <c:v>14.284791366648719</c:v>
                </c:pt>
                <c:pt idx="207">
                  <c:v>14.22657038743764</c:v>
                </c:pt>
                <c:pt idx="208">
                  <c:v>14.168760062259732</c:v>
                </c:pt>
                <c:pt idx="209">
                  <c:v>14.111354682230013</c:v>
                </c:pt>
                <c:pt idx="210">
                  <c:v>14.05279772209051</c:v>
                </c:pt>
                <c:pt idx="211">
                  <c:v>13.994656273495099</c:v>
                </c:pt>
                <c:pt idx="212">
                  <c:v>13.936924512532542</c:v>
                </c:pt>
                <c:pt idx="213">
                  <c:v>13.879596732535406</c:v>
                </c:pt>
                <c:pt idx="214">
                  <c:v>13.821536548046005</c:v>
                </c:pt>
                <c:pt idx="215">
                  <c:v>13.763884979139174</c:v>
                </c:pt>
                <c:pt idx="216">
                  <c:v>13.706636328960514</c:v>
                </c:pt>
                <c:pt idx="217">
                  <c:v>13.649785015051419</c:v>
                </c:pt>
                <c:pt idx="218">
                  <c:v>13.592042744461235</c:v>
                </c:pt>
                <c:pt idx="219">
                  <c:v>13.534704677143598</c:v>
                </c:pt>
                <c:pt idx="220">
                  <c:v>13.477765192673999</c:v>
                </c:pt>
                <c:pt idx="221">
                  <c:v>13.421218783494449</c:v>
                </c:pt>
                <c:pt idx="222">
                  <c:v>13.363812482534561</c:v>
                </c:pt>
                <c:pt idx="223">
                  <c:v>13.306805686468637</c:v>
                </c:pt>
                <c:pt idx="224">
                  <c:v>13.250192858440045</c:v>
                </c:pt>
                <c:pt idx="225">
                  <c:v>13.193968572707053</c:v>
                </c:pt>
                <c:pt idx="226">
                  <c:v>13.136740683522344</c:v>
                </c:pt>
                <c:pt idx="227">
                  <c:v>13.079909749161585</c:v>
                </c:pt>
                <c:pt idx="228">
                  <c:v>13.023470272997844</c:v>
                </c:pt>
                <c:pt idx="229">
                  <c:v>12.967416868893638</c:v>
                </c:pt>
                <c:pt idx="230">
                  <c:v>12.853767541566526</c:v>
                </c:pt>
                <c:pt idx="231">
                  <c:v>12.797528400152874</c:v>
                </c:pt>
                <c:pt idx="232">
                  <c:v>12.741672454580284</c:v>
                </c:pt>
                <c:pt idx="233">
                  <c:v>12.684882040575857</c:v>
                </c:pt>
                <c:pt idx="234">
                  <c:v>12.628482252105552</c:v>
                </c:pt>
                <c:pt idx="235">
                  <c:v>12.572467701841788</c:v>
                </c:pt>
                <c:pt idx="236">
                  <c:v>12.516833110840338</c:v>
                </c:pt>
                <c:pt idx="237">
                  <c:v>12.460455936111831</c:v>
                </c:pt>
                <c:pt idx="238">
                  <c:v>12.404463526305687</c:v>
                </c:pt>
                <c:pt idx="239">
                  <c:v>12.348850605660411</c:v>
                </c:pt>
                <c:pt idx="240">
                  <c:v>12.293612004183636</c:v>
                </c:pt>
                <c:pt idx="241">
                  <c:v>12.237344542500191</c:v>
                </c:pt>
                <c:pt idx="242">
                  <c:v>12.181460101124536</c:v>
                </c:pt>
                <c:pt idx="243">
                  <c:v>12.12595343225142</c:v>
                </c:pt>
                <c:pt idx="244">
                  <c:v>12.070819393434874</c:v>
                </c:pt>
                <c:pt idx="245">
                  <c:v>12.014843409341957</c:v>
                </c:pt>
                <c:pt idx="246">
                  <c:v>11.959246214094382</c:v>
                </c:pt>
                <c:pt idx="247">
                  <c:v>11.90402263959867</c:v>
                </c:pt>
                <c:pt idx="248">
                  <c:v>11.849167621306286</c:v>
                </c:pt>
                <c:pt idx="249">
                  <c:v>11.793351637360963</c:v>
                </c:pt>
                <c:pt idx="250">
                  <c:v>11.737911969970654</c:v>
                </c:pt>
                <c:pt idx="251">
                  <c:v>11.68284349561384</c:v>
                </c:pt>
                <c:pt idx="252">
                  <c:v>11.628141193412038</c:v>
                </c:pt>
                <c:pt idx="253">
                  <c:v>11.572653935702748</c:v>
                </c:pt>
                <c:pt idx="254">
                  <c:v>11.517538247292078</c:v>
                </c:pt>
                <c:pt idx="255">
                  <c:v>11.462789096139483</c:v>
                </c:pt>
                <c:pt idx="256">
                  <c:v>11.408401550675961</c:v>
                </c:pt>
                <c:pt idx="257">
                  <c:v>11.352975714632594</c:v>
                </c:pt>
                <c:pt idx="258">
                  <c:v>11.297920261141776</c:v>
                </c:pt>
                <c:pt idx="259">
                  <c:v>11.243230178137289</c:v>
                </c:pt>
                <c:pt idx="260">
                  <c:v>11.188900553731163</c:v>
                </c:pt>
                <c:pt idx="261">
                  <c:v>11.133703988353481</c:v>
                </c:pt>
                <c:pt idx="262">
                  <c:v>11.078874369745982</c:v>
                </c:pt>
                <c:pt idx="263">
                  <c:v>11.024406751937001</c:v>
                </c:pt>
                <c:pt idx="264">
                  <c:v>10.970296287595287</c:v>
                </c:pt>
                <c:pt idx="265">
                  <c:v>10.915347568631834</c:v>
                </c:pt>
                <c:pt idx="266">
                  <c:v>10.860762114582901</c:v>
                </c:pt>
                <c:pt idx="267">
                  <c:v>10.806535050964015</c:v>
                </c:pt>
                <c:pt idx="268">
                  <c:v>10.752661600232933</c:v>
                </c:pt>
                <c:pt idx="269">
                  <c:v>10.697848493873279</c:v>
                </c:pt>
                <c:pt idx="270">
                  <c:v>10.64339644704156</c:v>
                </c:pt>
                <c:pt idx="271">
                  <c:v>10.589300627568631</c:v>
                </c:pt>
                <c:pt idx="272">
                  <c:v>10.535556299283467</c:v>
                </c:pt>
                <c:pt idx="273">
                  <c:v>10.480903594428874</c:v>
                </c:pt>
                <c:pt idx="274">
                  <c:v>10.42660941206163</c:v>
                </c:pt>
                <c:pt idx="275">
                  <c:v>10.37266896943459</c:v>
                </c:pt>
                <c:pt idx="276">
                  <c:v>10.3190775786502</c:v>
                </c:pt>
                <c:pt idx="277">
                  <c:v>10.26473005844478</c:v>
                </c:pt>
                <c:pt idx="278">
                  <c:v>10.210736638569253</c:v>
                </c:pt>
                <c:pt idx="279">
                  <c:v>10.157092623515148</c:v>
                </c:pt>
                <c:pt idx="280">
                  <c:v>10.103793410466055</c:v>
                </c:pt>
                <c:pt idx="281">
                  <c:v>10.04940462561613</c:v>
                </c:pt>
                <c:pt idx="282">
                  <c:v>9.9953700232541358</c:v>
                </c:pt>
                <c:pt idx="283">
                  <c:v>9.941684906059896</c:v>
                </c:pt>
                <c:pt idx="284">
                  <c:v>9.888344669572783</c:v>
                </c:pt>
                <c:pt idx="285">
                  <c:v>9.834299853366419</c:v>
                </c:pt>
                <c:pt idx="286">
                  <c:v>9.7806043095508386</c:v>
                </c:pt>
                <c:pt idx="287">
                  <c:v>9.7272534381054037</c:v>
                </c:pt>
                <c:pt idx="288">
                  <c:v>9.674242729424261</c:v>
                </c:pt>
                <c:pt idx="289">
                  <c:v>9.6202098930821869</c:v>
                </c:pt>
                <c:pt idx="290">
                  <c:v>9.5665257091675198</c:v>
                </c:pt>
                <c:pt idx="291">
                  <c:v>9.5131855905571712</c:v>
                </c:pt>
                <c:pt idx="292">
                  <c:v>9.4601850402949292</c:v>
                </c:pt>
                <c:pt idx="293">
                  <c:v>9.4063065194076056</c:v>
                </c:pt>
                <c:pt idx="294">
                  <c:v>9.3527741984175989</c:v>
                </c:pt>
                <c:pt idx="295">
                  <c:v>9.2995835394296336</c:v>
                </c:pt>
                <c:pt idx="296">
                  <c:v>9.2467300935067662</c:v>
                </c:pt>
                <c:pt idx="297">
                  <c:v>9.1930270121038298</c:v>
                </c:pt>
                <c:pt idx="298">
                  <c:v>9.1396674147201189</c:v>
                </c:pt>
                <c:pt idx="299">
                  <c:v>9.0866468179806485</c:v>
                </c:pt>
                <c:pt idx="300">
                  <c:v>9.0339608261132049</c:v>
                </c:pt>
                <c:pt idx="301">
                  <c:v>8.9804523736356074</c:v>
                </c:pt>
                <c:pt idx="302">
                  <c:v>8.9272844557446405</c:v>
                </c:pt>
                <c:pt idx="303">
                  <c:v>8.8744526481883383</c:v>
                </c:pt>
                <c:pt idx="304">
                  <c:v>8.821952612835414</c:v>
                </c:pt>
                <c:pt idx="305">
                  <c:v>8.7684518472241084</c:v>
                </c:pt>
                <c:pt idx="306">
                  <c:v>8.7152910441210807</c:v>
                </c:pt>
                <c:pt idx="307">
                  <c:v>8.6624657923392085</c:v>
                </c:pt>
                <c:pt idx="308">
                  <c:v>8.6099717665134179</c:v>
                </c:pt>
                <c:pt idx="309">
                  <c:v>8.5567089069634541</c:v>
                </c:pt>
                <c:pt idx="310">
                  <c:v>8.5037825301101968</c:v>
                </c:pt>
                <c:pt idx="311">
                  <c:v>8.4511882942735692</c:v>
                </c:pt>
                <c:pt idx="312">
                  <c:v>8.3989219418317607</c:v>
                </c:pt>
                <c:pt idx="313">
                  <c:v>8.3457164125453414</c:v>
                </c:pt>
                <c:pt idx="314">
                  <c:v>8.2928461725338938</c:v>
                </c:pt>
                <c:pt idx="315">
                  <c:v>8.2403069054879126</c:v>
                </c:pt>
                <c:pt idx="316">
                  <c:v>8.1880943785235178</c:v>
                </c:pt>
                <c:pt idx="317">
                  <c:v>8.1349728634596552</c:v>
                </c:pt>
                <c:pt idx="318">
                  <c:v>8.0821851122084549</c:v>
                </c:pt>
                <c:pt idx="319">
                  <c:v>8.0297268403258233</c:v>
                </c:pt>
                <c:pt idx="320">
                  <c:v>7.9775938459867257</c:v>
                </c:pt>
                <c:pt idx="321">
                  <c:v>7.9245808700359355</c:v>
                </c:pt>
                <c:pt idx="322">
                  <c:v>7.8718998312612429</c:v>
                </c:pt>
                <c:pt idx="323">
                  <c:v>7.8195464829037364</c:v>
                </c:pt>
                <c:pt idx="324">
                  <c:v>7.7675166598622924</c:v>
                </c:pt>
                <c:pt idx="325">
                  <c:v>7.7146347215751572</c:v>
                </c:pt>
                <c:pt idx="326">
                  <c:v>7.6620826218105753</c:v>
                </c:pt>
                <c:pt idx="327">
                  <c:v>7.6098561566720466</c:v>
                </c:pt>
                <c:pt idx="328">
                  <c:v>7.5579512028233218</c:v>
                </c:pt>
                <c:pt idx="329">
                  <c:v>7.5051329997942986</c:v>
                </c:pt>
                <c:pt idx="330">
                  <c:v>7.4526433812408488</c:v>
                </c:pt>
                <c:pt idx="331">
                  <c:v>7.4004781700139208</c:v>
                </c:pt>
                <c:pt idx="332">
                  <c:v>7.3486332688337255</c:v>
                </c:pt>
                <c:pt idx="333">
                  <c:v>7.2959898182617824</c:v>
                </c:pt>
                <c:pt idx="334">
                  <c:v>7.243672331299563</c:v>
                </c:pt>
                <c:pt idx="335">
                  <c:v>7.1916766834407664</c:v>
                </c:pt>
                <c:pt idx="336">
                  <c:v>7.1399988286971139</c:v>
                </c:pt>
                <c:pt idx="337">
                  <c:v>7.0873797822707303</c:v>
                </c:pt>
                <c:pt idx="338">
                  <c:v>7.0350859445143419</c:v>
                </c:pt>
                <c:pt idx="339">
                  <c:v>6.9831132081742826</c:v>
                </c:pt>
                <c:pt idx="340">
                  <c:v>6.931457544057241</c:v>
                </c:pt>
                <c:pt idx="341">
                  <c:v>6.8788905113577457</c:v>
                </c:pt>
                <c:pt idx="342">
                  <c:v>6.8266475959717665</c:v>
                </c:pt>
                <c:pt idx="343">
                  <c:v>6.774724714251307</c:v>
                </c:pt>
                <c:pt idx="344">
                  <c:v>6.7231178599867754</c:v>
                </c:pt>
                <c:pt idx="345">
                  <c:v>6.6707079732239851</c:v>
                </c:pt>
                <c:pt idx="346">
                  <c:v>6.6186198294113074</c:v>
                </c:pt>
                <c:pt idx="347">
                  <c:v>6.5668493925608784</c:v>
                </c:pt>
                <c:pt idx="348">
                  <c:v>6.5153927028941192</c:v>
                </c:pt>
                <c:pt idx="349">
                  <c:v>6.4630022299948493</c:v>
                </c:pt>
                <c:pt idx="350">
                  <c:v>6.4109328206626675</c:v>
                </c:pt>
                <c:pt idx="351">
                  <c:v>6.3591804546588708</c:v>
                </c:pt>
                <c:pt idx="352">
                  <c:v>6.3077411875251279</c:v>
                </c:pt>
                <c:pt idx="353">
                  <c:v>6.2553975043688972</c:v>
                </c:pt>
                <c:pt idx="354">
                  <c:v>6.2033738747809455</c:v>
                </c:pt>
                <c:pt idx="355">
                  <c:v>6.1516663004188583</c:v>
                </c:pt>
                <c:pt idx="356">
                  <c:v>6.1002708581352696</c:v>
                </c:pt>
                <c:pt idx="357">
                  <c:v>6.048073284610167</c:v>
                </c:pt>
                <c:pt idx="358">
                  <c:v>5.9961935525853116</c:v>
                </c:pt>
                <c:pt idx="359">
                  <c:v>5.944627707924556</c:v>
                </c:pt>
                <c:pt idx="360">
                  <c:v>5.893371870544085</c:v>
                </c:pt>
                <c:pt idx="361">
                  <c:v>5.8411939249332203</c:v>
                </c:pt>
                <c:pt idx="362">
                  <c:v>5.7893331528348924</c:v>
                </c:pt>
                <c:pt idx="363">
                  <c:v>5.7377856154493854</c:v>
                </c:pt>
                <c:pt idx="364">
                  <c:v>5.6865474476056477</c:v>
                </c:pt>
                <c:pt idx="365">
                  <c:v>5.6344864626622204</c:v>
                </c:pt>
                <c:pt idx="366">
                  <c:v>5.5827408098916012</c:v>
                </c:pt>
                <c:pt idx="367">
                  <c:v>5.53130658749203</c:v>
                </c:pt>
                <c:pt idx="368">
                  <c:v>5.4801799663286213</c:v>
                </c:pt>
                <c:pt idx="369">
                  <c:v>5.4281180147603871</c:v>
                </c:pt>
                <c:pt idx="370">
                  <c:v>5.376370984456381</c:v>
                </c:pt>
                <c:pt idx="371">
                  <c:v>5.3249349840145239</c:v>
                </c:pt>
                <c:pt idx="372">
                  <c:v>5.2738061943965295</c:v>
                </c:pt>
                <c:pt idx="373">
                  <c:v>5.2218384074046735</c:v>
                </c:pt>
                <c:pt idx="374">
                  <c:v>5.1701839879104625</c:v>
                </c:pt>
                <c:pt idx="375">
                  <c:v>5.1188390759091611</c:v>
                </c:pt>
                <c:pt idx="376">
                  <c:v>5.0677998829378348</c:v>
                </c:pt>
                <c:pt idx="377">
                  <c:v>5.0158161390164748</c:v>
                </c:pt>
                <c:pt idx="378">
                  <c:v>4.9641455373694079</c:v>
                </c:pt>
                <c:pt idx="379">
                  <c:v>4.9127842247925919</c:v>
                </c:pt>
                <c:pt idx="380">
                  <c:v>4.8617284194081254</c:v>
                </c:pt>
                <c:pt idx="381">
                  <c:v>4.8098855239161225</c:v>
                </c:pt>
                <c:pt idx="382">
                  <c:v>4.7583536678801019</c:v>
                </c:pt>
                <c:pt idx="383">
                  <c:v>4.7071290392781506</c:v>
                </c:pt>
                <c:pt idx="384">
                  <c:v>4.6562078963543847</c:v>
                </c:pt>
                <c:pt idx="385">
                  <c:v>4.6043357861678089</c:v>
                </c:pt>
                <c:pt idx="386">
                  <c:v>4.5527746531570186</c:v>
                </c:pt>
                <c:pt idx="387">
                  <c:v>4.5015206889116612</c:v>
                </c:pt>
                <c:pt idx="388">
                  <c:v>4.4505701551495864</c:v>
                </c:pt>
                <c:pt idx="389">
                  <c:v>4.3987591942589495</c:v>
                </c:pt>
                <c:pt idx="390">
                  <c:v>4.3472580697979026</c:v>
                </c:pt>
                <c:pt idx="391">
                  <c:v>4.2960629966000727</c:v>
                </c:pt>
                <c:pt idx="392">
                  <c:v>4.2451702590093197</c:v>
                </c:pt>
                <c:pt idx="393">
                  <c:v>4.193443337728862</c:v>
                </c:pt>
                <c:pt idx="394">
                  <c:v>4.1420248436572837</c:v>
                </c:pt>
                <c:pt idx="395">
                  <c:v>4.0909110196066294</c:v>
                </c:pt>
                <c:pt idx="396">
                  <c:v>4.040098177167609</c:v>
                </c:pt>
                <c:pt idx="397">
                  <c:v>3.9883599748445753</c:v>
                </c:pt>
                <c:pt idx="398">
                  <c:v>3.9369299263411883</c:v>
                </c:pt>
                <c:pt idx="399">
                  <c:v>3.8858042816104827</c:v>
                </c:pt>
                <c:pt idx="400">
                  <c:v>3.8349793591609309</c:v>
                </c:pt>
                <c:pt idx="401">
                  <c:v>3.7833143629731838</c:v>
                </c:pt>
                <c:pt idx="402">
                  <c:v>3.7319562451401289</c:v>
                </c:pt>
                <c:pt idx="403">
                  <c:v>3.6809012808504842</c:v>
                </c:pt>
                <c:pt idx="404">
                  <c:v>3.6301458131867519</c:v>
                </c:pt>
                <c:pt idx="405">
                  <c:v>3.5785201395236048</c:v>
                </c:pt>
                <c:pt idx="406">
                  <c:v>3.5272004723792434</c:v>
                </c:pt>
                <c:pt idx="407">
                  <c:v>3.4761831046894374</c:v>
                </c:pt>
                <c:pt idx="408">
                  <c:v>3.4254643968055283</c:v>
                </c:pt>
                <c:pt idx="409">
                  <c:v>3.3738476535183919</c:v>
                </c:pt>
                <c:pt idx="410">
                  <c:v>3.322536404136855</c:v>
                </c:pt>
                <c:pt idx="411">
                  <c:v>3.2715269526996988</c:v>
                </c:pt>
                <c:pt idx="412">
                  <c:v>3.2208156703449293</c:v>
                </c:pt>
                <c:pt idx="413">
                  <c:v>3.169233685172745</c:v>
                </c:pt>
                <c:pt idx="414">
                  <c:v>3.117956375772498</c:v>
                </c:pt>
                <c:pt idx="415">
                  <c:v>3.0669800626773496</c:v>
                </c:pt>
                <c:pt idx="416">
                  <c:v>3.0163011330745886</c:v>
                </c:pt>
                <c:pt idx="417">
                  <c:v>2.9647261053128937</c:v>
                </c:pt>
                <c:pt idx="418">
                  <c:v>2.913455261516873</c:v>
                </c:pt>
                <c:pt idx="419">
                  <c:v>2.8624849326825847</c:v>
                </c:pt>
                <c:pt idx="420">
                  <c:v>2.8118115161618</c:v>
                </c:pt>
                <c:pt idx="421">
                  <c:v>2.7603197146727974</c:v>
                </c:pt>
                <c:pt idx="422">
                  <c:v>2.709130708131581</c:v>
                </c:pt>
                <c:pt idx="423">
                  <c:v>2.6582408540189628</c:v>
                </c:pt>
                <c:pt idx="424">
                  <c:v>2.6076465754900964</c:v>
                </c:pt>
                <c:pt idx="425">
                  <c:v>2.5561102606542869</c:v>
                </c:pt>
                <c:pt idx="426">
                  <c:v>2.5048768485409894</c:v>
                </c:pt>
                <c:pt idx="427">
                  <c:v>2.4539426960326107</c:v>
                </c:pt>
                <c:pt idx="428">
                  <c:v>2.4033042256556301</c:v>
                </c:pt>
                <c:pt idx="429">
                  <c:v>2.3518006203729072</c:v>
                </c:pt>
                <c:pt idx="430">
                  <c:v>2.300599116776862</c:v>
                </c:pt>
                <c:pt idx="431">
                  <c:v>2.2496960873659018</c:v>
                </c:pt>
                <c:pt idx="432">
                  <c:v>2.1990879698652934</c:v>
                </c:pt>
                <c:pt idx="433">
                  <c:v>2.1476406988185941</c:v>
                </c:pt>
                <c:pt idx="434">
                  <c:v>2.0964944500888807</c:v>
                </c:pt>
                <c:pt idx="435">
                  <c:v>2.0456456166305994</c:v>
                </c:pt>
                <c:pt idx="436">
                  <c:v>1.9950906560943991</c:v>
                </c:pt>
                <c:pt idx="437">
                  <c:v>1.9436295380315427</c:v>
                </c:pt>
                <c:pt idx="438">
                  <c:v>1.8924691783888317</c:v>
                </c:pt>
                <c:pt idx="439">
                  <c:v>1.8416059758169989</c:v>
                </c:pt>
                <c:pt idx="440">
                  <c:v>1.7910363934862721</c:v>
                </c:pt>
                <c:pt idx="441">
                  <c:v>1.7395879564451067</c:v>
                </c:pt>
                <c:pt idx="442">
                  <c:v>1.6884396993599273</c:v>
                </c:pt>
                <c:pt idx="443">
                  <c:v>1.6375880320799401</c:v>
                </c:pt>
                <c:pt idx="444">
                  <c:v>1.5870294286676521</c:v>
                </c:pt>
                <c:pt idx="445">
                  <c:v>1.5356182925558515</c:v>
                </c:pt>
                <c:pt idx="446">
                  <c:v>1.4845064667107022</c:v>
                </c:pt>
                <c:pt idx="447">
                  <c:v>1.4336903772451495</c:v>
                </c:pt>
                <c:pt idx="448">
                  <c:v>1.3831665140608567</c:v>
                </c:pt>
                <c:pt idx="449">
                  <c:v>1.3317296509471945</c:v>
                </c:pt>
                <c:pt idx="450">
                  <c:v>1.2805919542342361</c:v>
                </c:pt>
                <c:pt idx="451">
                  <c:v>1.229749853200681</c:v>
                </c:pt>
                <c:pt idx="452">
                  <c:v>1.1791998408019897</c:v>
                </c:pt>
                <c:pt idx="453">
                  <c:v>1.1278061676760718</c:v>
                </c:pt>
                <c:pt idx="454">
                  <c:v>1.0767107111300966</c:v>
                </c:pt>
                <c:pt idx="455">
                  <c:v>1.0259099178565745</c:v>
                </c:pt>
                <c:pt idx="456">
                  <c:v>0.97540029777707837</c:v>
                </c:pt>
                <c:pt idx="457">
                  <c:v>0.92399004534316032</c:v>
                </c:pt>
                <c:pt idx="458">
                  <c:v>0.87287774449466904</c:v>
                </c:pt>
                <c:pt idx="459">
                  <c:v>0.82205984699619206</c:v>
                </c:pt>
                <c:pt idx="460">
                  <c:v>0.77153286768764273</c:v>
                </c:pt>
                <c:pt idx="461">
                  <c:v>0.72013214114676316</c:v>
                </c:pt>
                <c:pt idx="462">
                  <c:v>0.66902879095120282</c:v>
                </c:pt>
                <c:pt idx="463">
                  <c:v>0.61821927933518606</c:v>
                </c:pt>
                <c:pt idx="464">
                  <c:v>0.56770013132881303</c:v>
                </c:pt>
                <c:pt idx="465">
                  <c:v>0.5162940303925625</c:v>
                </c:pt>
                <c:pt idx="466">
                  <c:v>0.46518489362124826</c:v>
                </c:pt>
                <c:pt idx="467">
                  <c:v>0.4143691906892869</c:v>
                </c:pt>
                <c:pt idx="468">
                  <c:v>0.36384345386082984</c:v>
                </c:pt>
                <c:pt idx="469">
                  <c:v>0.31245709081062789</c:v>
                </c:pt>
                <c:pt idx="470">
                  <c:v>0.26136698114525131</c:v>
                </c:pt>
                <c:pt idx="471">
                  <c:v>0.21056960715881048</c:v>
                </c:pt>
                <c:pt idx="472">
                  <c:v>0.16006151340904914</c:v>
                </c:pt>
                <c:pt idx="473">
                  <c:v>0.10864343638677221</c:v>
                </c:pt>
                <c:pt idx="474">
                  <c:v>5.7521483250142634E-2</c:v>
                </c:pt>
                <c:pt idx="475">
                  <c:v>6.6921384652187405E-3</c:v>
                </c:pt>
                <c:pt idx="476">
                  <c:v>-4.3848051316656686E-2</c:v>
                </c:pt>
                <c:pt idx="477">
                  <c:v>-9.5271210359958836E-2</c:v>
                </c:pt>
                <c:pt idx="478">
                  <c:v>-0.14639869263106775</c:v>
                </c:pt>
                <c:pt idx="479">
                  <c:v>-0.19723400597189589</c:v>
                </c:pt>
                <c:pt idx="480">
                  <c:v>-0.24778059624537982</c:v>
                </c:pt>
                <c:pt idx="481">
                  <c:v>-0.29918410483452434</c:v>
                </c:pt>
                <c:pt idx="482">
                  <c:v>-0.35029267857529028</c:v>
                </c:pt>
                <c:pt idx="483">
                  <c:v>-0.40110981251074407</c:v>
                </c:pt>
                <c:pt idx="484">
                  <c:v>-0.45163894002911686</c:v>
                </c:pt>
                <c:pt idx="485">
                  <c:v>-0.50303475869948455</c:v>
                </c:pt>
                <c:pt idx="486">
                  <c:v>-0.55413625901111918</c:v>
                </c:pt>
                <c:pt idx="487">
                  <c:v>-0.60494692555469032</c:v>
                </c:pt>
                <c:pt idx="488">
                  <c:v>-0.65547018153286729</c:v>
                </c:pt>
                <c:pt idx="489">
                  <c:v>-0.70690293897742185</c:v>
                </c:pt>
                <c:pt idx="490">
                  <c:v>-0.75804149820184297</c:v>
                </c:pt>
                <c:pt idx="491">
                  <c:v>-0.80888934224739473</c:v>
                </c:pt>
                <c:pt idx="492">
                  <c:v>-0.85944989282358997</c:v>
                </c:pt>
                <c:pt idx="493">
                  <c:v>-0.91089315888022726</c:v>
                </c:pt>
                <c:pt idx="494">
                  <c:v>-0.96204266299875618</c:v>
                </c:pt>
                <c:pt idx="495">
                  <c:v>-1.0129018811825627</c:v>
                </c:pt>
                <c:pt idx="496">
                  <c:v>-1.0634742282860867</c:v>
                </c:pt>
                <c:pt idx="497">
                  <c:v>-1.1149360395583348</c:v>
                </c:pt>
                <c:pt idx="498">
                  <c:v>-1.1661044485072778</c:v>
                </c:pt>
                <c:pt idx="499">
                  <c:v>-1.2169829255619504</c:v>
                </c:pt>
                <c:pt idx="500">
                  <c:v>-1.2675748801489051</c:v>
                </c:pt>
                <c:pt idx="501">
                  <c:v>-1.3190621417295407</c:v>
                </c:pt>
                <c:pt idx="502">
                  <c:v>-1.3702562979705082</c:v>
                </c:pt>
                <c:pt idx="503">
                  <c:v>-1.4211608149367634</c:v>
                </c:pt>
                <c:pt idx="504">
                  <c:v>-1.4717790978068672</c:v>
                </c:pt>
                <c:pt idx="505">
                  <c:v>-1.523266538305819</c:v>
                </c:pt>
                <c:pt idx="506">
                  <c:v>-1.5744614735074465</c:v>
                </c:pt>
                <c:pt idx="507">
                  <c:v>-1.6253673598534093</c:v>
                </c:pt>
                <c:pt idx="508">
                  <c:v>-1.6759875931356034</c:v>
                </c:pt>
                <c:pt idx="509">
                  <c:v>-1.7274822087410517</c:v>
                </c:pt>
                <c:pt idx="510">
                  <c:v>-1.7786848560493738</c:v>
                </c:pt>
                <c:pt idx="511">
                  <c:v>-1.829598983090472</c:v>
                </c:pt>
                <c:pt idx="512">
                  <c:v>-1.8802279774504922</c:v>
                </c:pt>
                <c:pt idx="513">
                  <c:v>-1.9317655430534728</c:v>
                </c:pt>
                <c:pt idx="514">
                  <c:v>-1.9830112906762838</c:v>
                </c:pt>
                <c:pt idx="515">
                  <c:v>-2.0339686668569517</c:v>
                </c:pt>
                <c:pt idx="516">
                  <c:v>-2.0846410577322052</c:v>
                </c:pt>
                <c:pt idx="517">
                  <c:v>-2.1361956068773122</c:v>
                </c:pt>
                <c:pt idx="518">
                  <c:v>-2.1874588005359827</c:v>
                </c:pt>
                <c:pt idx="519">
                  <c:v>-2.2384340783247012</c:v>
                </c:pt>
                <c:pt idx="520">
                  <c:v>-2.2891248196252452</c:v>
                </c:pt>
                <c:pt idx="521">
                  <c:v>-2.3407006937125909</c:v>
                </c:pt>
                <c:pt idx="522">
                  <c:v>-2.3919856448412564</c:v>
                </c:pt>
                <c:pt idx="523">
                  <c:v>-2.442983106314168</c:v>
                </c:pt>
                <c:pt idx="524">
                  <c:v>-2.4936964513495732</c:v>
                </c:pt>
                <c:pt idx="525">
                  <c:v>-2.5452972358409132</c:v>
                </c:pt>
                <c:pt idx="526">
                  <c:v>-2.5966075093528191</c:v>
                </c:pt>
                <c:pt idx="527">
                  <c:v>-2.647630699309528</c:v>
                </c:pt>
                <c:pt idx="528">
                  <c:v>-2.6983701731879153</c:v>
                </c:pt>
                <c:pt idx="529">
                  <c:v>-2.7499987639271977</c:v>
                </c:pt>
                <c:pt idx="530">
                  <c:v>-2.8013372437068189</c:v>
                </c:pt>
                <c:pt idx="531">
                  <c:v>-2.8523890343482163</c:v>
                </c:pt>
                <c:pt idx="532">
                  <c:v>-2.9031574978538215</c:v>
                </c:pt>
                <c:pt idx="533">
                  <c:v>-2.9548427577358987</c:v>
                </c:pt>
                <c:pt idx="534">
                  <c:v>-3.0062380050877522</c:v>
                </c:pt>
                <c:pt idx="535">
                  <c:v>-3.0573466615055924</c:v>
                </c:pt>
                <c:pt idx="536">
                  <c:v>-3.108172088767339</c:v>
                </c:pt>
                <c:pt idx="537">
                  <c:v>-3.1598619417817049</c:v>
                </c:pt>
                <c:pt idx="538">
                  <c:v>-3.2112624854386169</c:v>
                </c:pt>
                <c:pt idx="539">
                  <c:v>-3.2623771304899774</c:v>
                </c:pt>
                <c:pt idx="540">
                  <c:v>-3.3132092281140899</c:v>
                </c:pt>
                <c:pt idx="541">
                  <c:v>-3.3649574891889511</c:v>
                </c:pt>
                <c:pt idx="542">
                  <c:v>-3.4164165655292527</c:v>
                </c:pt>
                <c:pt idx="543">
                  <c:v>-3.4675898672853069</c:v>
                </c:pt>
                <c:pt idx="544">
                  <c:v>-3.5184807450377216</c:v>
                </c:pt>
                <c:pt idx="545">
                  <c:v>-3.5702615859079239</c:v>
                </c:pt>
                <c:pt idx="546">
                  <c:v>-3.6217536784129969</c:v>
                </c:pt>
                <c:pt idx="547">
                  <c:v>-3.672960426633531</c:v>
                </c:pt>
                <c:pt idx="548">
                  <c:v>-3.723885175208439</c:v>
                </c:pt>
                <c:pt idx="549">
                  <c:v>-3.775698946563828</c:v>
                </c:pt>
                <c:pt idx="550">
                  <c:v>-3.8272244255475361</c:v>
                </c:pt>
                <c:pt idx="551">
                  <c:v>-3.8784650098430329</c:v>
                </c:pt>
                <c:pt idx="552">
                  <c:v>-3.9294240378245919</c:v>
                </c:pt>
                <c:pt idx="553">
                  <c:v>-3.9812945134737849</c:v>
                </c:pt>
                <c:pt idx="554">
                  <c:v>-4.0328769134930651</c:v>
                </c:pt>
                <c:pt idx="555">
                  <c:v>-4.0841746333923821</c:v>
                </c:pt>
                <c:pt idx="556">
                  <c:v>-4.1351910094037763</c:v>
                </c:pt>
                <c:pt idx="557">
                  <c:v>-4.2387537408017009</c:v>
                </c:pt>
                <c:pt idx="558">
                  <c:v>-4.3411787349670412</c:v>
                </c:pt>
                <c:pt idx="559">
                  <c:v>-4.4448018511471252</c:v>
                </c:pt>
                <c:pt idx="560">
                  <c:v>-4.5472894531445034</c:v>
                </c:pt>
                <c:pt idx="561">
                  <c:v>-4.6510599429613189</c:v>
                </c:pt>
                <c:pt idx="562">
                  <c:v>-4.7536953483467528</c:v>
                </c:pt>
                <c:pt idx="563">
                  <c:v>-4.8573887619619951</c:v>
                </c:pt>
                <c:pt idx="564">
                  <c:v>-4.9599524952097367</c:v>
                </c:pt>
                <c:pt idx="565">
                  <c:v>-5.0639565264017552</c:v>
                </c:pt>
                <c:pt idx="566">
                  <c:v>-5.1668279781191906</c:v>
                </c:pt>
                <c:pt idx="567">
                  <c:v>-5.2710818602375031</c:v>
                </c:pt>
                <c:pt idx="568">
                  <c:v>-5.3742017030922131</c:v>
                </c:pt>
                <c:pt idx="569">
                  <c:v>-5.4782429949268652</c:v>
                </c:pt>
                <c:pt idx="570">
                  <c:v>-5.5811588727959656</c:v>
                </c:pt>
                <c:pt idx="571">
                  <c:v>-5.6857551169863019</c:v>
                </c:pt>
                <c:pt idx="572">
                  <c:v>-5.789218140634893</c:v>
                </c:pt>
                <c:pt idx="573">
                  <c:v>-5.8935170663005367</c:v>
                </c:pt>
                <c:pt idx="574">
                  <c:v>-5.9966934015338964</c:v>
                </c:pt>
                <c:pt idx="575">
                  <c:v>-6.1014348675567129</c:v>
                </c:pt>
                <c:pt idx="576">
                  <c:v>-6.2050486009402412</c:v>
                </c:pt>
                <c:pt idx="577">
                  <c:v>-6.6317980454392877</c:v>
                </c:pt>
                <c:pt idx="578">
                  <c:v>-7.0406015616774065</c:v>
                </c:pt>
                <c:pt idx="579">
                  <c:v>-7.881120898022834</c:v>
                </c:pt>
                <c:pt idx="580">
                  <c:v>-8.728849748120199</c:v>
                </c:pt>
                <c:pt idx="581">
                  <c:v>-9.5834414948616793</c:v>
                </c:pt>
                <c:pt idx="582">
                  <c:v>-10.446290357477679</c:v>
                </c:pt>
                <c:pt idx="583">
                  <c:v>-11.317538934315522</c:v>
                </c:pt>
                <c:pt idx="584">
                  <c:v>-12.198515281856261</c:v>
                </c:pt>
                <c:pt idx="585">
                  <c:v>-13.089232973768814</c:v>
                </c:pt>
                <c:pt idx="586">
                  <c:v>-13.990144314660045</c:v>
                </c:pt>
                <c:pt idx="587">
                  <c:v>-14.90186247601056</c:v>
                </c:pt>
                <c:pt idx="588">
                  <c:v>-15.823483421230032</c:v>
                </c:pt>
                <c:pt idx="589">
                  <c:v>-16.75568266086281</c:v>
                </c:pt>
                <c:pt idx="590">
                  <c:v>-17.698279257888274</c:v>
                </c:pt>
                <c:pt idx="591">
                  <c:v>-18.65220054814915</c:v>
                </c:pt>
                <c:pt idx="592">
                  <c:v>-19.619530465196274</c:v>
                </c:pt>
                <c:pt idx="593">
                  <c:v>-20.605127369716154</c:v>
                </c:pt>
                <c:pt idx="594">
                  <c:v>-21.616942938845149</c:v>
                </c:pt>
                <c:pt idx="595">
                  <c:v>-22.668505393966782</c:v>
                </c:pt>
                <c:pt idx="596">
                  <c:v>-23.779331634576998</c:v>
                </c:pt>
                <c:pt idx="597">
                  <c:v>-24.976159288779005</c:v>
                </c:pt>
                <c:pt idx="598">
                  <c:v>-26.290197102002232</c:v>
                </c:pt>
                <c:pt idx="599">
                  <c:v>-27.753413807686726</c:v>
                </c:pt>
                <c:pt idx="600">
                  <c:v>-29.38970938639747</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5606.4162066280242</c:v>
                </c:pt>
              </c:numCache>
            </c:numRef>
          </c:xVal>
          <c:yVal>
            <c:numRef>
              <c:f>'Ch2 Stability Calculations'!$D$635</c:f>
              <c:numCache>
                <c:formatCode>0.00</c:formatCode>
                <c:ptCount val="1"/>
                <c:pt idx="0">
                  <c:v>23.567780773000013</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5.2860665696800622</c:v>
                </c:pt>
              </c:numCache>
            </c:numRef>
          </c:xVal>
          <c:yVal>
            <c:numRef>
              <c:f>'Ch2 Stability Calculations'!$Q$624</c:f>
              <c:numCache>
                <c:formatCode>0.00</c:formatCode>
                <c:ptCount val="1"/>
                <c:pt idx="0">
                  <c:v>99.020382493721556</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503.87440293675269</c:v>
                </c:pt>
              </c:numCache>
            </c:numRef>
          </c:xVal>
          <c:yVal>
            <c:numRef>
              <c:f>'Ch2 Stability Calculations'!$D$632</c:f>
              <c:numCache>
                <c:formatCode>0.00</c:formatCode>
                <c:ptCount val="1"/>
                <c:pt idx="0">
                  <c:v>59.471520858796922</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663145.59697398485</c:v>
                </c:pt>
              </c:numCache>
            </c:numRef>
          </c:xVal>
          <c:yVal>
            <c:numRef>
              <c:f>'Ch2 Stability Calculations'!$Q$623</c:f>
              <c:numCache>
                <c:formatCode>0.00</c:formatCode>
                <c:ptCount val="1"/>
                <c:pt idx="0">
                  <c:v>-23.259671757214782</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-10.816038383256657</c:v>
                </c:pt>
                <c:pt idx="1">
                  <c:v>-11.832403681253785</c:v>
                </c:pt>
                <c:pt idx="2">
                  <c:v>-12.938334138015851</c:v>
                </c:pt>
                <c:pt idx="3">
                  <c:v>-14.140017029913649</c:v>
                </c:pt>
                <c:pt idx="4">
                  <c:v>-15.442660367286553</c:v>
                </c:pt>
                <c:pt idx="5">
                  <c:v>-16.854311125907778</c:v>
                </c:pt>
                <c:pt idx="6">
                  <c:v>-18.37839238570535</c:v>
                </c:pt>
                <c:pt idx="7">
                  <c:v>-20.02044862166527</c:v>
                </c:pt>
                <c:pt idx="8">
                  <c:v>-21.782719750020295</c:v>
                </c:pt>
                <c:pt idx="9">
                  <c:v>-23.668532273326942</c:v>
                </c:pt>
                <c:pt idx="10">
                  <c:v>-25.676986649436454</c:v>
                </c:pt>
                <c:pt idx="11">
                  <c:v>-27.806239575961953</c:v>
                </c:pt>
                <c:pt idx="12">
                  <c:v>-30.052808110608019</c:v>
                </c:pt>
                <c:pt idx="13">
                  <c:v>-32.406957053728355</c:v>
                </c:pt>
                <c:pt idx="14">
                  <c:v>-34.859896897203541</c:v>
                </c:pt>
                <c:pt idx="15">
                  <c:v>-37.397016715541056</c:v>
                </c:pt>
                <c:pt idx="16">
                  <c:v>-40.00195530928756</c:v>
                </c:pt>
                <c:pt idx="17">
                  <c:v>-42.655357242733878</c:v>
                </c:pt>
                <c:pt idx="18">
                  <c:v>-45.337248658978567</c:v>
                </c:pt>
                <c:pt idx="19">
                  <c:v>-48.025216231722702</c:v>
                </c:pt>
                <c:pt idx="20">
                  <c:v>-50.698064254404741</c:v>
                </c:pt>
                <c:pt idx="21">
                  <c:v>-53.334410407480966</c:v>
                </c:pt>
                <c:pt idx="22">
                  <c:v>-55.915708845352277</c:v>
                </c:pt>
                <c:pt idx="23">
                  <c:v>-58.42462951161081</c:v>
                </c:pt>
                <c:pt idx="24">
                  <c:v>-60.848000188002025</c:v>
                </c:pt>
                <c:pt idx="25">
                  <c:v>-63.17475197453448</c:v>
                </c:pt>
                <c:pt idx="26">
                  <c:v>-65.397881474671976</c:v>
                </c:pt>
                <c:pt idx="27">
                  <c:v>-67.512170312695162</c:v>
                </c:pt>
                <c:pt idx="28">
                  <c:v>-69.515987195961571</c:v>
                </c:pt>
                <c:pt idx="29">
                  <c:v>-71.408870275625958</c:v>
                </c:pt>
                <c:pt idx="30">
                  <c:v>-73.196642363544584</c:v>
                </c:pt>
                <c:pt idx="31">
                  <c:v>-74.881011200458829</c:v>
                </c:pt>
                <c:pt idx="32">
                  <c:v>-76.468713758338609</c:v>
                </c:pt>
                <c:pt idx="33">
                  <c:v>-77.965166227392345</c:v>
                </c:pt>
                <c:pt idx="34">
                  <c:v>-79.378746535190018</c:v>
                </c:pt>
                <c:pt idx="35">
                  <c:v>-80.716317383879399</c:v>
                </c:pt>
                <c:pt idx="36">
                  <c:v>-81.98607868701356</c:v>
                </c:pt>
                <c:pt idx="37">
                  <c:v>-83.19680175850084</c:v>
                </c:pt>
                <c:pt idx="38">
                  <c:v>-84.355525201183738</c:v>
                </c:pt>
                <c:pt idx="39">
                  <c:v>-85.471390933173524</c:v>
                </c:pt>
                <c:pt idx="40">
                  <c:v>-86.552119432270771</c:v>
                </c:pt>
                <c:pt idx="41">
                  <c:v>-87.605909465882831</c:v>
                </c:pt>
                <c:pt idx="42">
                  <c:v>-88.640659713389311</c:v>
                </c:pt>
                <c:pt idx="43">
                  <c:v>-89.664656740858547</c:v>
                </c:pt>
                <c:pt idx="44">
                  <c:v>-90.685562806026184</c:v>
                </c:pt>
                <c:pt idx="45">
                  <c:v>-91.711485951828521</c:v>
                </c:pt>
                <c:pt idx="46">
                  <c:v>-92.750096849152285</c:v>
                </c:pt>
                <c:pt idx="47">
                  <c:v>-93.809482572844644</c:v>
                </c:pt>
                <c:pt idx="48">
                  <c:v>-94.897227037904059</c:v>
                </c:pt>
                <c:pt idx="49">
                  <c:v>-96.021424799892458</c:v>
                </c:pt>
                <c:pt idx="50">
                  <c:v>-97.189665990297414</c:v>
                </c:pt>
                <c:pt idx="51">
                  <c:v>-98.409886263843589</c:v>
                </c:pt>
                <c:pt idx="52">
                  <c:v>-99.689167357469955</c:v>
                </c:pt>
                <c:pt idx="53">
                  <c:v>-101.03470427367769</c:v>
                </c:pt>
                <c:pt idx="54">
                  <c:v>-102.45228617081563</c:v>
                </c:pt>
                <c:pt idx="55">
                  <c:v>-103.9504051144698</c:v>
                </c:pt>
                <c:pt idx="56">
                  <c:v>-105.53220605550223</c:v>
                </c:pt>
                <c:pt idx="57">
                  <c:v>-107.20272629333361</c:v>
                </c:pt>
                <c:pt idx="58">
                  <c:v>-108.96319824925439</c:v>
                </c:pt>
                <c:pt idx="59">
                  <c:v>-110.81549517207563</c:v>
                </c:pt>
                <c:pt idx="60">
                  <c:v>-112.75680379163212</c:v>
                </c:pt>
                <c:pt idx="61">
                  <c:v>-114.78289233002461</c:v>
                </c:pt>
                <c:pt idx="62">
                  <c:v>-116.88736410235887</c:v>
                </c:pt>
                <c:pt idx="63">
                  <c:v>-119.05739168437478</c:v>
                </c:pt>
                <c:pt idx="64">
                  <c:v>-121.28049717295869</c:v>
                </c:pt>
                <c:pt idx="65">
                  <c:v>-123.53836035290958</c:v>
                </c:pt>
                <c:pt idx="66">
                  <c:v>-125.81069592468359</c:v>
                </c:pt>
                <c:pt idx="67">
                  <c:v>-128.07427699593907</c:v>
                </c:pt>
                <c:pt idx="68">
                  <c:v>-130.30514371835937</c:v>
                </c:pt>
                <c:pt idx="69">
                  <c:v>-132.47723584813863</c:v>
                </c:pt>
                <c:pt idx="70">
                  <c:v>-134.5656023943537</c:v>
                </c:pt>
                <c:pt idx="71">
                  <c:v>-136.54539594964498</c:v>
                </c:pt>
                <c:pt idx="72">
                  <c:v>-138.39433041369688</c:v>
                </c:pt>
                <c:pt idx="73">
                  <c:v>-140.09154251509398</c:v>
                </c:pt>
                <c:pt idx="74">
                  <c:v>-141.61970974007679</c:v>
                </c:pt>
                <c:pt idx="75">
                  <c:v>-142.9636235321459</c:v>
                </c:pt>
                <c:pt idx="76">
                  <c:v>-144.11137587533463</c:v>
                </c:pt>
                <c:pt idx="77">
                  <c:v>-145.05302188636381</c:v>
                </c:pt>
                <c:pt idx="78">
                  <c:v>-145.78148441331572</c:v>
                </c:pt>
                <c:pt idx="79">
                  <c:v>-146.29150673770135</c:v>
                </c:pt>
                <c:pt idx="80">
                  <c:v>-146.58066862290639</c:v>
                </c:pt>
                <c:pt idx="81">
                  <c:v>-146.64687107992501</c:v>
                </c:pt>
                <c:pt idx="82">
                  <c:v>-146.49028484174559</c:v>
                </c:pt>
                <c:pt idx="83">
                  <c:v>-146.11273005007436</c:v>
                </c:pt>
                <c:pt idx="84">
                  <c:v>-145.51726226005073</c:v>
                </c:pt>
                <c:pt idx="85">
                  <c:v>-144.70932214394463</c:v>
                </c:pt>
                <c:pt idx="86">
                  <c:v>-143.69608580583346</c:v>
                </c:pt>
                <c:pt idx="87">
                  <c:v>-142.48643027985761</c:v>
                </c:pt>
                <c:pt idx="88">
                  <c:v>-141.09364195688391</c:v>
                </c:pt>
                <c:pt idx="89">
                  <c:v>-139.53156153157545</c:v>
                </c:pt>
                <c:pt idx="90">
                  <c:v>-137.81848992987199</c:v>
                </c:pt>
                <c:pt idx="91">
                  <c:v>-135.9748306502361</c:v>
                </c:pt>
                <c:pt idx="92">
                  <c:v>-134.02386077708368</c:v>
                </c:pt>
                <c:pt idx="93">
                  <c:v>-131.98996226459536</c:v>
                </c:pt>
                <c:pt idx="94">
                  <c:v>-131.47184694857597</c:v>
                </c:pt>
                <c:pt idx="95">
                  <c:v>-131.20998403047574</c:v>
                </c:pt>
                <c:pt idx="96">
                  <c:v>-130.95039750764391</c:v>
                </c:pt>
                <c:pt idx="97">
                  <c:v>-130.68715688759636</c:v>
                </c:pt>
                <c:pt idx="98">
                  <c:v>-130.42631205379621</c:v>
                </c:pt>
                <c:pt idx="99">
                  <c:v>-130.16183757460465</c:v>
                </c:pt>
                <c:pt idx="100">
                  <c:v>-129.89987691809608</c:v>
                </c:pt>
                <c:pt idx="101">
                  <c:v>-129.63451707918105</c:v>
                </c:pt>
                <c:pt idx="102">
                  <c:v>-129.37178362682548</c:v>
                </c:pt>
                <c:pt idx="103">
                  <c:v>-129.10549204248719</c:v>
                </c:pt>
                <c:pt idx="104">
                  <c:v>-128.84194148588696</c:v>
                </c:pt>
                <c:pt idx="105">
                  <c:v>-128.57507229241307</c:v>
                </c:pt>
                <c:pt idx="106">
                  <c:v>-128.31105270942501</c:v>
                </c:pt>
                <c:pt idx="107">
                  <c:v>-128.04394975488594</c:v>
                </c:pt>
                <c:pt idx="108">
                  <c:v>-127.77979853747209</c:v>
                </c:pt>
                <c:pt idx="109">
                  <c:v>-127.51261340035829</c:v>
                </c:pt>
                <c:pt idx="110">
                  <c:v>-127.24847948053436</c:v>
                </c:pt>
                <c:pt idx="111">
                  <c:v>-126.98119136198403</c:v>
                </c:pt>
                <c:pt idx="112">
                  <c:v>-126.71705526235007</c:v>
                </c:pt>
                <c:pt idx="113">
                  <c:v>-126.45000884688412</c:v>
                </c:pt>
                <c:pt idx="114">
                  <c:v>-126.18620799880085</c:v>
                </c:pt>
                <c:pt idx="115">
                  <c:v>-125.91956600981064</c:v>
                </c:pt>
                <c:pt idx="116">
                  <c:v>-125.65625983549904</c:v>
                </c:pt>
                <c:pt idx="117">
                  <c:v>-125.39018739209835</c:v>
                </c:pt>
                <c:pt idx="118">
                  <c:v>-125.12753749145897</c:v>
                </c:pt>
                <c:pt idx="119">
                  <c:v>-124.8623611749622</c:v>
                </c:pt>
                <c:pt idx="120">
                  <c:v>-124.60068617216169</c:v>
                </c:pt>
                <c:pt idx="121">
                  <c:v>-124.33656108597586</c:v>
                </c:pt>
                <c:pt idx="122">
                  <c:v>-124.07601220975756</c:v>
                </c:pt>
                <c:pt idx="123">
                  <c:v>-123.81294258065483</c:v>
                </c:pt>
                <c:pt idx="124">
                  <c:v>-123.55352421283877</c:v>
                </c:pt>
                <c:pt idx="125">
                  <c:v>-123.29182501690698</c:v>
                </c:pt>
                <c:pt idx="126">
                  <c:v>-123.03384364968637</c:v>
                </c:pt>
                <c:pt idx="127">
                  <c:v>-122.77366920756441</c:v>
                </c:pt>
                <c:pt idx="128">
                  <c:v>-122.51727479876394</c:v>
                </c:pt>
                <c:pt idx="129">
                  <c:v>-122.25877793492785</c:v>
                </c:pt>
                <c:pt idx="130">
                  <c:v>-122.00411881360863</c:v>
                </c:pt>
                <c:pt idx="131">
                  <c:v>-121.74745026438943</c:v>
                </c:pt>
                <c:pt idx="132">
                  <c:v>-121.62057905305764</c:v>
                </c:pt>
                <c:pt idx="133">
                  <c:v>-121.49467255479429</c:v>
                </c:pt>
                <c:pt idx="134">
                  <c:v>-121.36676410745662</c:v>
                </c:pt>
                <c:pt idx="135">
                  <c:v>-121.23984993478626</c:v>
                </c:pt>
                <c:pt idx="136">
                  <c:v>-121.11392156713359</c:v>
                </c:pt>
                <c:pt idx="137">
                  <c:v>-120.98897057380182</c:v>
                </c:pt>
                <c:pt idx="138">
                  <c:v>-120.86218488398291</c:v>
                </c:pt>
                <c:pt idx="139">
                  <c:v>-120.73640374898744</c:v>
                </c:pt>
                <c:pt idx="140">
                  <c:v>-120.61161828853767</c:v>
                </c:pt>
                <c:pt idx="141">
                  <c:v>-120.48781967223664</c:v>
                </c:pt>
                <c:pt idx="142">
                  <c:v>-120.36209842577692</c:v>
                </c:pt>
                <c:pt idx="143">
                  <c:v>-120.237392820209</c:v>
                </c:pt>
                <c:pt idx="144">
                  <c:v>-120.11369355404391</c:v>
                </c:pt>
                <c:pt idx="145">
                  <c:v>-119.99099138672705</c:v>
                </c:pt>
                <c:pt idx="146">
                  <c:v>-119.8664693706978</c:v>
                </c:pt>
                <c:pt idx="147">
                  <c:v>-119.74297181178281</c:v>
                </c:pt>
                <c:pt idx="148">
                  <c:v>-119.62048901829073</c:v>
                </c:pt>
                <c:pt idx="149">
                  <c:v>-119.49901137030348</c:v>
                </c:pt>
                <c:pt idx="150">
                  <c:v>-119.37575530876683</c:v>
                </c:pt>
                <c:pt idx="151">
                  <c:v>-119.25353127239268</c:v>
                </c:pt>
                <c:pt idx="152">
                  <c:v>-119.1323291978496</c:v>
                </c:pt>
                <c:pt idx="153">
                  <c:v>-119.01213910426104</c:v>
                </c:pt>
                <c:pt idx="154">
                  <c:v>-118.89015734230605</c:v>
                </c:pt>
                <c:pt idx="155">
                  <c:v>-118.76921487597291</c:v>
                </c:pt>
                <c:pt idx="156">
                  <c:v>-118.64930127550298</c:v>
                </c:pt>
                <c:pt idx="157">
                  <c:v>-118.530406204249</c:v>
                </c:pt>
                <c:pt idx="158">
                  <c:v>-118.40976592755362</c:v>
                </c:pt>
                <c:pt idx="159">
                  <c:v>-118.29017091996499</c:v>
                </c:pt>
                <c:pt idx="160">
                  <c:v>-118.17161040564011</c:v>
                </c:pt>
                <c:pt idx="161">
                  <c:v>-118.05407371229533</c:v>
                </c:pt>
                <c:pt idx="162">
                  <c:v>-117.93489119278183</c:v>
                </c:pt>
                <c:pt idx="163">
                  <c:v>-117.81675770891765</c:v>
                </c:pt>
                <c:pt idx="164">
                  <c:v>-117.69966217458487</c:v>
                </c:pt>
                <c:pt idx="165">
                  <c:v>-117.58359361722154</c:v>
                </c:pt>
                <c:pt idx="166">
                  <c:v>-117.46582371436142</c:v>
                </c:pt>
                <c:pt idx="167">
                  <c:v>-117.34910719060552</c:v>
                </c:pt>
                <c:pt idx="168">
                  <c:v>-117.23343264231778</c:v>
                </c:pt>
                <c:pt idx="169">
                  <c:v>-117.11878878952068</c:v>
                </c:pt>
                <c:pt idx="170">
                  <c:v>-117.00273727775796</c:v>
                </c:pt>
                <c:pt idx="171">
                  <c:v>-116.88773777339942</c:v>
                </c:pt>
                <c:pt idx="172">
                  <c:v>-116.77377865112808</c:v>
                </c:pt>
                <c:pt idx="173">
                  <c:v>-116.6608484179651</c:v>
                </c:pt>
                <c:pt idx="174">
                  <c:v>-116.54612743491801</c:v>
                </c:pt>
                <c:pt idx="175">
                  <c:v>-116.43246383111577</c:v>
                </c:pt>
                <c:pt idx="176">
                  <c:v>-116.31984565049471</c:v>
                </c:pt>
                <c:pt idx="177">
                  <c:v>-116.20826107965627</c:v>
                </c:pt>
                <c:pt idx="178">
                  <c:v>-116.09499246904691</c:v>
                </c:pt>
                <c:pt idx="179">
                  <c:v>-115.98278427321871</c:v>
                </c:pt>
                <c:pt idx="180">
                  <c:v>-115.8716242448256</c:v>
                </c:pt>
                <c:pt idx="181">
                  <c:v>-115.76150028895695</c:v>
                </c:pt>
                <c:pt idx="182">
                  <c:v>-115.65022883014689</c:v>
                </c:pt>
                <c:pt idx="183">
                  <c:v>-115.54001036108987</c:v>
                </c:pt>
                <c:pt idx="184">
                  <c:v>-115.43083252809055</c:v>
                </c:pt>
                <c:pt idx="185">
                  <c:v>-115.32268313652763</c:v>
                </c:pt>
                <c:pt idx="186">
                  <c:v>-115.21262346376577</c:v>
                </c:pt>
                <c:pt idx="187">
                  <c:v>-115.10362388013166</c:v>
                </c:pt>
                <c:pt idx="188">
                  <c:v>-114.99567167306613</c:v>
                </c:pt>
                <c:pt idx="189">
                  <c:v>-114.8887543000484</c:v>
                </c:pt>
                <c:pt idx="190">
                  <c:v>-114.78084835374166</c:v>
                </c:pt>
                <c:pt idx="191">
                  <c:v>-114.67399134641836</c:v>
                </c:pt>
                <c:pt idx="192">
                  <c:v>-114.5681705364876</c:v>
                </c:pt>
                <c:pt idx="193">
                  <c:v>-114.46337335746837</c:v>
                </c:pt>
                <c:pt idx="194">
                  <c:v>-114.35687992815981</c:v>
                </c:pt>
                <c:pt idx="195">
                  <c:v>-114.25143824884897</c:v>
                </c:pt>
                <c:pt idx="196">
                  <c:v>-114.14703529965355</c:v>
                </c:pt>
                <c:pt idx="197">
                  <c:v>-114.04365824536758</c:v>
                </c:pt>
                <c:pt idx="198">
                  <c:v>-113.93906413214759</c:v>
                </c:pt>
                <c:pt idx="199">
                  <c:v>-113.83551481451563</c:v>
                </c:pt>
                <c:pt idx="200">
                  <c:v>-113.73299717742755</c:v>
                </c:pt>
                <c:pt idx="201">
                  <c:v>-113.63149829661994</c:v>
                </c:pt>
                <c:pt idx="202">
                  <c:v>-113.5288629343887</c:v>
                </c:pt>
                <c:pt idx="203">
                  <c:v>-113.4272637972751</c:v>
                </c:pt>
                <c:pt idx="204">
                  <c:v>-113.32668771143233</c:v>
                </c:pt>
                <c:pt idx="205">
                  <c:v>-113.22712169907922</c:v>
                </c:pt>
                <c:pt idx="206">
                  <c:v>-113.12615285076747</c:v>
                </c:pt>
                <c:pt idx="207">
                  <c:v>-113.0262171685476</c:v>
                </c:pt>
                <c:pt idx="208">
                  <c:v>-112.92730131947721</c:v>
                </c:pt>
                <c:pt idx="209">
                  <c:v>-112.82939217388476</c:v>
                </c:pt>
                <c:pt idx="210">
                  <c:v>-112.72984446491826</c:v>
                </c:pt>
                <c:pt idx="211">
                  <c:v>-112.63133173788141</c:v>
                </c:pt>
                <c:pt idx="212">
                  <c:v>-112.53384040734413</c:v>
                </c:pt>
                <c:pt idx="213">
                  <c:v>-112.43735710029586</c:v>
                </c:pt>
                <c:pt idx="214">
                  <c:v>-112.33997525265521</c:v>
                </c:pt>
                <c:pt idx="215">
                  <c:v>-112.24361457585842</c:v>
                </c:pt>
                <c:pt idx="216">
                  <c:v>-112.14826154185283</c:v>
                </c:pt>
                <c:pt idx="217">
                  <c:v>-112.05390283767193</c:v>
                </c:pt>
                <c:pt idx="218">
                  <c:v>-111.95840757365097</c:v>
                </c:pt>
                <c:pt idx="219">
                  <c:v>-111.8639250021771</c:v>
                </c:pt>
                <c:pt idx="220">
                  <c:v>-111.77044155351609</c:v>
                </c:pt>
                <c:pt idx="221">
                  <c:v>-111.67794387765004</c:v>
                </c:pt>
                <c:pt idx="222">
                  <c:v>-111.58438945693747</c:v>
                </c:pt>
                <c:pt idx="223">
                  <c:v>-111.49183772203999</c:v>
                </c:pt>
                <c:pt idx="224">
                  <c:v>-111.40027509738609</c:v>
                </c:pt>
                <c:pt idx="225">
                  <c:v>-111.30968823088729</c:v>
                </c:pt>
                <c:pt idx="226">
                  <c:v>-111.21784254647234</c:v>
                </c:pt>
                <c:pt idx="227">
                  <c:v>-111.1269941635183</c:v>
                </c:pt>
                <c:pt idx="228">
                  <c:v>-111.0371294112134</c:v>
                </c:pt>
                <c:pt idx="229">
                  <c:v>-110.94823484789481</c:v>
                </c:pt>
                <c:pt idx="230">
                  <c:v>-110.76909679618649</c:v>
                </c:pt>
                <c:pt idx="231">
                  <c:v>-110.68099921571432</c:v>
                </c:pt>
                <c:pt idx="232">
                  <c:v>-110.5938645313652</c:v>
                </c:pt>
                <c:pt idx="233">
                  <c:v>-110.50564497641788</c:v>
                </c:pt>
                <c:pt idx="234">
                  <c:v>-110.41840669200297</c:v>
                </c:pt>
                <c:pt idx="235">
                  <c:v>-110.33213593508806</c:v>
                </c:pt>
                <c:pt idx="236">
                  <c:v>-110.24681920036306</c:v>
                </c:pt>
                <c:pt idx="237">
                  <c:v>-110.16074088529139</c:v>
                </c:pt>
                <c:pt idx="238">
                  <c:v>-110.07562803224717</c:v>
                </c:pt>
                <c:pt idx="239">
                  <c:v>-109.99146703259314</c:v>
                </c:pt>
                <c:pt idx="240">
                  <c:v>-109.90824451565138</c:v>
                </c:pt>
                <c:pt idx="241">
                  <c:v>-109.82385517233878</c:v>
                </c:pt>
                <c:pt idx="242">
                  <c:v>-109.7404251776356</c:v>
                </c:pt>
                <c:pt idx="243">
                  <c:v>-109.65794085789523</c:v>
                </c:pt>
                <c:pt idx="244">
                  <c:v>-109.57638878222104</c:v>
                </c:pt>
                <c:pt idx="245">
                  <c:v>-109.49397918580189</c:v>
                </c:pt>
                <c:pt idx="246">
                  <c:v>-109.41251598798711</c:v>
                </c:pt>
                <c:pt idx="247">
                  <c:v>-109.33198559967083</c:v>
                </c:pt>
                <c:pt idx="248">
                  <c:v>-109.25237467569906</c:v>
                </c:pt>
                <c:pt idx="249">
                  <c:v>-109.17176170002594</c:v>
                </c:pt>
                <c:pt idx="250">
                  <c:v>-109.09208600096439</c:v>
                </c:pt>
                <c:pt idx="251">
                  <c:v>-109.01333399647578</c:v>
                </c:pt>
                <c:pt idx="252">
                  <c:v>-108.9354923514455</c:v>
                </c:pt>
                <c:pt idx="253">
                  <c:v>-108.85692912183892</c:v>
                </c:pt>
                <c:pt idx="254">
                  <c:v>-108.77928785278858</c:v>
                </c:pt>
                <c:pt idx="255">
                  <c:v>-108.70255510830889</c:v>
                </c:pt>
                <c:pt idx="256">
                  <c:v>-108.62671769886281</c:v>
                </c:pt>
                <c:pt idx="257">
                  <c:v>-108.54983244753777</c:v>
                </c:pt>
                <c:pt idx="258">
                  <c:v>-108.47386217285059</c:v>
                </c:pt>
                <c:pt idx="259">
                  <c:v>-108.39879340771232</c:v>
                </c:pt>
                <c:pt idx="260">
                  <c:v>-108.32461293525709</c:v>
                </c:pt>
                <c:pt idx="261">
                  <c:v>-108.24965182989622</c:v>
                </c:pt>
                <c:pt idx="262">
                  <c:v>-108.17559266778058</c:v>
                </c:pt>
                <c:pt idx="263">
                  <c:v>-108.10242208738022</c:v>
                </c:pt>
                <c:pt idx="264">
                  <c:v>-108.03012697773481</c:v>
                </c:pt>
                <c:pt idx="265">
                  <c:v>-107.95711678431975</c:v>
                </c:pt>
                <c:pt idx="266">
                  <c:v>-107.88499447661999</c:v>
                </c:pt>
                <c:pt idx="267">
                  <c:v>-107.81374682643356</c:v>
                </c:pt>
                <c:pt idx="268">
                  <c:v>-107.74336085568545</c:v>
                </c:pt>
                <c:pt idx="269">
                  <c:v>-107.6721545884467</c:v>
                </c:pt>
                <c:pt idx="270">
                  <c:v>-107.60182535653388</c:v>
                </c:pt>
                <c:pt idx="271">
                  <c:v>-107.53235999824426</c:v>
                </c:pt>
                <c:pt idx="272">
                  <c:v>-107.46374560315823</c:v>
                </c:pt>
                <c:pt idx="273">
                  <c:v>-107.39438103073226</c:v>
                </c:pt>
                <c:pt idx="274">
                  <c:v>-107.3258814446102</c:v>
                </c:pt>
                <c:pt idx="275">
                  <c:v>-107.25823378051095</c:v>
                </c:pt>
                <c:pt idx="276">
                  <c:v>-107.19142522574057</c:v>
                </c:pt>
                <c:pt idx="277">
                  <c:v>-107.1240835824397</c:v>
                </c:pt>
                <c:pt idx="278">
                  <c:v>-107.0575900115881</c:v>
                </c:pt>
                <c:pt idx="279">
                  <c:v>-106.99193166102883</c:v>
                </c:pt>
                <c:pt idx="280">
                  <c:v>-106.92709592746502</c:v>
                </c:pt>
                <c:pt idx="281">
                  <c:v>-106.86134728321687</c:v>
                </c:pt>
                <c:pt idx="282">
                  <c:v>-106.79644025671774</c:v>
                </c:pt>
                <c:pt idx="283">
                  <c:v>-106.73236197480526</c:v>
                </c:pt>
                <c:pt idx="284">
                  <c:v>-106.66909981639201</c:v>
                </c:pt>
                <c:pt idx="285">
                  <c:v>-106.60541398910833</c:v>
                </c:pt>
                <c:pt idx="286">
                  <c:v>-106.54255115597846</c:v>
                </c:pt>
                <c:pt idx="287">
                  <c:v>-106.48049870449798</c:v>
                </c:pt>
                <c:pt idx="288">
                  <c:v>-106.41924427006197</c:v>
                </c:pt>
                <c:pt idx="289">
                  <c:v>-106.35722220685115</c:v>
                </c:pt>
                <c:pt idx="290">
                  <c:v>-106.29601438541916</c:v>
                </c:pt>
                <c:pt idx="291">
                  <c:v>-106.23560823213478</c:v>
                </c:pt>
                <c:pt idx="292">
                  <c:v>-106.17599142280864</c:v>
                </c:pt>
                <c:pt idx="293">
                  <c:v>-106.11580123300628</c:v>
                </c:pt>
                <c:pt idx="294">
                  <c:v>-106.05641196622588</c:v>
                </c:pt>
                <c:pt idx="295">
                  <c:v>-105.99781119641138</c:v>
                </c:pt>
                <c:pt idx="296">
                  <c:v>-105.9399867455723</c:v>
                </c:pt>
                <c:pt idx="297">
                  <c:v>-105.881646582847</c:v>
                </c:pt>
                <c:pt idx="298">
                  <c:v>-105.82409321719706</c:v>
                </c:pt>
                <c:pt idx="299">
                  <c:v>-105.76731439314631</c:v>
                </c:pt>
                <c:pt idx="300">
                  <c:v>-105.71129810121778</c:v>
                </c:pt>
                <c:pt idx="301">
                  <c:v>-105.65482023395235</c:v>
                </c:pt>
                <c:pt idx="302">
                  <c:v>-105.59911434896416</c:v>
                </c:pt>
                <c:pt idx="303">
                  <c:v>-105.54416838180121</c:v>
                </c:pt>
                <c:pt idx="304">
                  <c:v>-105.48997051131386</c:v>
                </c:pt>
                <c:pt idx="305">
                  <c:v>-105.43515328067261</c:v>
                </c:pt>
                <c:pt idx="306">
                  <c:v>-105.38109842465983</c:v>
                </c:pt>
                <c:pt idx="307">
                  <c:v>-105.32779395189915</c:v>
                </c:pt>
                <c:pt idx="308">
                  <c:v>-105.27522811471977</c:v>
                </c:pt>
                <c:pt idx="309">
                  <c:v>-105.22230475711001</c:v>
                </c:pt>
                <c:pt idx="310">
                  <c:v>-105.17012749039141</c:v>
                </c:pt>
                <c:pt idx="311">
                  <c:v>-105.11868455674031</c:v>
                </c:pt>
                <c:pt idx="312">
                  <c:v>-105.06796443804333</c:v>
                </c:pt>
                <c:pt idx="313">
                  <c:v>-105.01674492349586</c:v>
                </c:pt>
                <c:pt idx="314">
                  <c:v>-104.96626019040609</c:v>
                </c:pt>
                <c:pt idx="315">
                  <c:v>-104.91649860134702</c:v>
                </c:pt>
                <c:pt idx="316">
                  <c:v>-104.86744875759973</c:v>
                </c:pt>
                <c:pt idx="317">
                  <c:v>-104.81795676867</c:v>
                </c:pt>
                <c:pt idx="318">
                  <c:v>-104.76918738191074</c:v>
                </c:pt>
                <c:pt idx="319">
                  <c:v>-104.72112910420867</c:v>
                </c:pt>
                <c:pt idx="320">
                  <c:v>-104.67377067944707</c:v>
                </c:pt>
                <c:pt idx="321">
                  <c:v>-104.62602385190847</c:v>
                </c:pt>
                <c:pt idx="322">
                  <c:v>-104.57898669607673</c:v>
                </c:pt>
                <c:pt idx="323">
                  <c:v>-104.53264788452745</c:v>
                </c:pt>
                <c:pt idx="324">
                  <c:v>-104.48699632447264</c:v>
                </c:pt>
                <c:pt idx="325">
                  <c:v>-104.44100676594006</c:v>
                </c:pt>
                <c:pt idx="326">
                  <c:v>-104.39571330941649</c:v>
                </c:pt>
                <c:pt idx="327">
                  <c:v>-104.35110481206171</c:v>
                </c:pt>
                <c:pt idx="328">
                  <c:v>-104.30717036272405</c:v>
                </c:pt>
                <c:pt idx="329">
                  <c:v>-104.26287176939547</c:v>
                </c:pt>
                <c:pt idx="330">
                  <c:v>-104.2192574383875</c:v>
                </c:pt>
                <c:pt idx="331">
                  <c:v>-104.17631637354124</c:v>
                </c:pt>
                <c:pt idx="332">
                  <c:v>-104.13403780842334</c:v>
                </c:pt>
                <c:pt idx="333">
                  <c:v>-104.09151493561401</c:v>
                </c:pt>
                <c:pt idx="334">
                  <c:v>-104.04966161773285</c:v>
                </c:pt>
                <c:pt idx="335">
                  <c:v>-104.00846707761968</c:v>
                </c:pt>
                <c:pt idx="336">
                  <c:v>-103.96792076380513</c:v>
                </c:pt>
                <c:pt idx="337">
                  <c:v>-103.9270421199986</c:v>
                </c:pt>
                <c:pt idx="338">
                  <c:v>-103.88682214766423</c:v>
                </c:pt>
                <c:pt idx="339">
                  <c:v>-103.84725020003964</c:v>
                </c:pt>
                <c:pt idx="340">
                  <c:v>-103.80831585442344</c:v>
                </c:pt>
                <c:pt idx="341">
                  <c:v>-103.7691000735645</c:v>
                </c:pt>
                <c:pt idx="342">
                  <c:v>-103.7305313458901</c:v>
                </c:pt>
                <c:pt idx="343">
                  <c:v>-103.69259917568884</c:v>
                </c:pt>
                <c:pt idx="344">
                  <c:v>-103.65529328905289</c:v>
                </c:pt>
                <c:pt idx="345">
                  <c:v>-103.61781033325568</c:v>
                </c:pt>
                <c:pt idx="346">
                  <c:v>-103.58096026961728</c:v>
                </c:pt>
                <c:pt idx="347">
                  <c:v>-103.54473281831629</c:v>
                </c:pt>
                <c:pt idx="348">
                  <c:v>-103.50911791719697</c:v>
                </c:pt>
                <c:pt idx="349">
                  <c:v>-103.47325920756064</c:v>
                </c:pt>
                <c:pt idx="350">
                  <c:v>-103.4380225934888</c:v>
                </c:pt>
                <c:pt idx="351">
                  <c:v>-103.40339793254125</c:v>
                </c:pt>
                <c:pt idx="352">
                  <c:v>-103.36937529795787</c:v>
                </c:pt>
                <c:pt idx="353">
                  <c:v>-103.33515615350264</c:v>
                </c:pt>
                <c:pt idx="354">
                  <c:v>-103.30154765529547</c:v>
                </c:pt>
                <c:pt idx="355">
                  <c:v>-103.26853981693178</c:v>
                </c:pt>
                <c:pt idx="356">
                  <c:v>-103.23612286512612</c:v>
                </c:pt>
                <c:pt idx="357">
                  <c:v>-103.20359954792383</c:v>
                </c:pt>
                <c:pt idx="358">
                  <c:v>-103.17167318972031</c:v>
                </c:pt>
                <c:pt idx="359">
                  <c:v>-103.14033401782532</c:v>
                </c:pt>
                <c:pt idx="360">
                  <c:v>-103.10957246841585</c:v>
                </c:pt>
                <c:pt idx="361">
                  <c:v>-103.07865600474202</c:v>
                </c:pt>
                <c:pt idx="362">
                  <c:v>-103.04832577904132</c:v>
                </c:pt>
                <c:pt idx="363">
                  <c:v>-103.0185721627232</c:v>
                </c:pt>
                <c:pt idx="364">
                  <c:v>-102.9893857337357</c:v>
                </c:pt>
                <c:pt idx="365">
                  <c:v>-102.96012735100508</c:v>
                </c:pt>
                <c:pt idx="366">
                  <c:v>-102.93144237145495</c:v>
                </c:pt>
                <c:pt idx="367">
                  <c:v>-102.90332136520205</c:v>
                </c:pt>
                <c:pt idx="368">
                  <c:v>-102.87575510496657</c:v>
                </c:pt>
                <c:pt idx="369">
                  <c:v>-102.84808049345281</c:v>
                </c:pt>
                <c:pt idx="370">
                  <c:v>-102.82096911787878</c:v>
                </c:pt>
                <c:pt idx="371">
                  <c:v>-102.79441168422517</c:v>
                </c:pt>
                <c:pt idx="372">
                  <c:v>-102.76839909888643</c:v>
                </c:pt>
                <c:pt idx="373">
                  <c:v>-102.74235416651828</c:v>
                </c:pt>
                <c:pt idx="374">
                  <c:v>-102.71686031591197</c:v>
                </c:pt>
                <c:pt idx="375">
                  <c:v>-102.69190844042129</c:v>
                </c:pt>
                <c:pt idx="376">
                  <c:v>-102.66748963010176</c:v>
                </c:pt>
                <c:pt idx="377">
                  <c:v>-102.64301287452037</c:v>
                </c:pt>
                <c:pt idx="378">
                  <c:v>-102.61907745207252</c:v>
                </c:pt>
                <c:pt idx="379">
                  <c:v>-102.59567438659693</c:v>
                </c:pt>
                <c:pt idx="380">
                  <c:v>-102.57279489650978</c:v>
                </c:pt>
                <c:pt idx="381">
                  <c:v>-102.54995472566689</c:v>
                </c:pt>
                <c:pt idx="382">
                  <c:v>-102.52764298068216</c:v>
                </c:pt>
                <c:pt idx="383">
                  <c:v>-102.50585089655043</c:v>
                </c:pt>
                <c:pt idx="384">
                  <c:v>-102.48456989835127</c:v>
                </c:pt>
                <c:pt idx="385">
                  <c:v>-102.46328295728389</c:v>
                </c:pt>
                <c:pt idx="386">
                  <c:v>-102.44251510542747</c:v>
                </c:pt>
                <c:pt idx="387">
                  <c:v>-102.4222577028826</c:v>
                </c:pt>
                <c:pt idx="388">
                  <c:v>-102.40250229777705</c:v>
                </c:pt>
                <c:pt idx="389">
                  <c:v>-102.3828038292345</c:v>
                </c:pt>
                <c:pt idx="390">
                  <c:v>-102.36361337779546</c:v>
                </c:pt>
                <c:pt idx="391">
                  <c:v>-102.34492247399081</c:v>
                </c:pt>
                <c:pt idx="392">
                  <c:v>-102.32672283297056</c:v>
                </c:pt>
                <c:pt idx="393">
                  <c:v>-102.30861394728535</c:v>
                </c:pt>
                <c:pt idx="394">
                  <c:v>-102.291001690993</c:v>
                </c:pt>
                <c:pt idx="395">
                  <c:v>-102.27387777528962</c:v>
                </c:pt>
                <c:pt idx="396">
                  <c:v>-102.25723409224089</c:v>
                </c:pt>
                <c:pt idx="397">
                  <c:v>-102.24067591674152</c:v>
                </c:pt>
                <c:pt idx="398">
                  <c:v>-102.22460491605553</c:v>
                </c:pt>
                <c:pt idx="399">
                  <c:v>-102.2090129360393</c:v>
                </c:pt>
                <c:pt idx="400">
                  <c:v>-102.1938920009617</c:v>
                </c:pt>
                <c:pt idx="401">
                  <c:v>-102.17890872205801</c:v>
                </c:pt>
                <c:pt idx="402">
                  <c:v>-102.16440167666968</c:v>
                </c:pt>
                <c:pt idx="403">
                  <c:v>-102.15036288455406</c:v>
                </c:pt>
                <c:pt idx="404">
                  <c:v>-102.13678454024371</c:v>
                </c:pt>
                <c:pt idx="405">
                  <c:v>-102.12336008354484</c:v>
                </c:pt>
                <c:pt idx="406">
                  <c:v>-102.11040167497302</c:v>
                </c:pt>
                <c:pt idx="407">
                  <c:v>-102.09790149140358</c:v>
                </c:pt>
                <c:pt idx="408">
                  <c:v>-102.08585188129747</c:v>
                </c:pt>
                <c:pt idx="409">
                  <c:v>-102.07397523088478</c:v>
                </c:pt>
                <c:pt idx="410">
                  <c:v>-102.06255509681353</c:v>
                </c:pt>
                <c:pt idx="411">
                  <c:v>-102.05158379865269</c:v>
                </c:pt>
                <c:pt idx="412">
                  <c:v>-102.04105382474913</c:v>
                </c:pt>
                <c:pt idx="413">
                  <c:v>-102.03072886834516</c:v>
                </c:pt>
                <c:pt idx="414">
                  <c:v>-102.02085054644166</c:v>
                </c:pt>
                <c:pt idx="415">
                  <c:v>-102.01141133198217</c:v>
                </c:pt>
                <c:pt idx="416">
                  <c:v>-102.00240386353124</c:v>
                </c:pt>
                <c:pt idx="417">
                  <c:v>-101.99362272703391</c:v>
                </c:pt>
                <c:pt idx="418">
                  <c:v>-101.98527893333751</c:v>
                </c:pt>
                <c:pt idx="419">
                  <c:v>-101.97736509573726</c:v>
                </c:pt>
                <c:pt idx="420">
                  <c:v>-101.96987399033692</c:v>
                </c:pt>
                <c:pt idx="421">
                  <c:v>-101.96264660112615</c:v>
                </c:pt>
                <c:pt idx="422">
                  <c:v>-101.95584610371296</c:v>
                </c:pt>
                <c:pt idx="423">
                  <c:v>-101.94946528280722</c:v>
                </c:pt>
                <c:pt idx="424">
                  <c:v>-101.94349708216853</c:v>
                </c:pt>
                <c:pt idx="425">
                  <c:v>-101.93780278487603</c:v>
                </c:pt>
                <c:pt idx="426">
                  <c:v>-101.93252715930122</c:v>
                </c:pt>
                <c:pt idx="427">
                  <c:v>-101.92766310693918</c:v>
                </c:pt>
                <c:pt idx="428">
                  <c:v>-101.92320368614187</c:v>
                </c:pt>
                <c:pt idx="429">
                  <c:v>-101.91905310784908</c:v>
                </c:pt>
                <c:pt idx="430">
                  <c:v>-101.91531181956658</c:v>
                </c:pt>
                <c:pt idx="431">
                  <c:v>-101.91197287051349</c:v>
                </c:pt>
                <c:pt idx="432">
                  <c:v>-101.90902946363185</c:v>
                </c:pt>
                <c:pt idx="433">
                  <c:v>-101.90642181478299</c:v>
                </c:pt>
                <c:pt idx="434">
                  <c:v>-101.90421383630898</c:v>
                </c:pt>
                <c:pt idx="435">
                  <c:v>-101.9023987328335</c:v>
                </c:pt>
                <c:pt idx="436">
                  <c:v>-101.900969859309</c:v>
                </c:pt>
                <c:pt idx="437">
                  <c:v>-101.89990025709284</c:v>
                </c:pt>
                <c:pt idx="438">
                  <c:v>-101.89922191418874</c:v>
                </c:pt>
                <c:pt idx="439">
                  <c:v>-101.89892816145225</c:v>
                </c:pt>
                <c:pt idx="440">
                  <c:v>-101.89901247749816</c:v>
                </c:pt>
                <c:pt idx="441">
                  <c:v>-101.89948350219802</c:v>
                </c:pt>
                <c:pt idx="442">
                  <c:v>-101.90033707230714</c:v>
                </c:pt>
                <c:pt idx="443">
                  <c:v>-101.90156665399594</c:v>
                </c:pt>
                <c:pt idx="444">
                  <c:v>-101.90316585832615</c:v>
                </c:pt>
                <c:pt idx="445">
                  <c:v>-101.90517734478865</c:v>
                </c:pt>
                <c:pt idx="446">
                  <c:v>-101.90756241884459</c:v>
                </c:pt>
                <c:pt idx="447">
                  <c:v>-101.91031468959363</c:v>
                </c:pt>
                <c:pt idx="448">
                  <c:v>-101.91342790790269</c:v>
                </c:pt>
                <c:pt idx="449">
                  <c:v>-101.91698348118845</c:v>
                </c:pt>
                <c:pt idx="450">
                  <c:v>-101.92090470674142</c:v>
                </c:pt>
                <c:pt idx="451">
                  <c:v>-101.92518531174176</c:v>
                </c:pt>
                <c:pt idx="452">
                  <c:v>-101.92981916271502</c:v>
                </c:pt>
                <c:pt idx="453">
                  <c:v>-101.93491677093118</c:v>
                </c:pt>
                <c:pt idx="454">
                  <c:v>-101.94037122516593</c:v>
                </c:pt>
                <c:pt idx="455">
                  <c:v>-101.94617639418915</c:v>
                </c:pt>
                <c:pt idx="456">
                  <c:v>-101.95232628297036</c:v>
                </c:pt>
                <c:pt idx="457">
                  <c:v>-101.95897308615477</c:v>
                </c:pt>
                <c:pt idx="458">
                  <c:v>-101.96596887095838</c:v>
                </c:pt>
                <c:pt idx="459">
                  <c:v>-101.97330762473834</c:v>
                </c:pt>
                <c:pt idx="460">
                  <c:v>-101.98098346855555</c:v>
                </c:pt>
                <c:pt idx="461">
                  <c:v>-101.98918015597698</c:v>
                </c:pt>
                <c:pt idx="462">
                  <c:v>-101.99771770390115</c:v>
                </c:pt>
                <c:pt idx="463">
                  <c:v>-102.00659022591221</c:v>
                </c:pt>
                <c:pt idx="464">
                  <c:v>-102.01579196654826</c:v>
                </c:pt>
                <c:pt idx="465">
                  <c:v>-102.02554438381392</c:v>
                </c:pt>
                <c:pt idx="466">
                  <c:v>-102.03562983919315</c:v>
                </c:pt>
                <c:pt idx="467">
                  <c:v>-102.04604256578477</c:v>
                </c:pt>
                <c:pt idx="468">
                  <c:v>-102.05677692506204</c:v>
                </c:pt>
                <c:pt idx="469">
                  <c:v>-102.06808412746422</c:v>
                </c:pt>
                <c:pt idx="470">
                  <c:v>-102.07971632396232</c:v>
                </c:pt>
                <c:pt idx="471">
                  <c:v>-102.09166787383262</c:v>
                </c:pt>
                <c:pt idx="472">
                  <c:v>-102.10393326192209</c:v>
                </c:pt>
                <c:pt idx="473">
                  <c:v>-102.11681109295631</c:v>
                </c:pt>
                <c:pt idx="474">
                  <c:v>-102.13000661744748</c:v>
                </c:pt>
                <c:pt idx="475">
                  <c:v>-102.14351430240657</c:v>
                </c:pt>
                <c:pt idx="476">
                  <c:v>-102.15732873813009</c:v>
                </c:pt>
                <c:pt idx="477">
                  <c:v>-102.17177742423335</c:v>
                </c:pt>
                <c:pt idx="478">
                  <c:v>-102.18653625570163</c:v>
                </c:pt>
                <c:pt idx="479">
                  <c:v>-102.20159981441614</c:v>
                </c:pt>
                <c:pt idx="480">
                  <c:v>-102.21696280302199</c:v>
                </c:pt>
                <c:pt idx="481">
                  <c:v>-102.23298029138928</c:v>
                </c:pt>
                <c:pt idx="482">
                  <c:v>-102.24930017736772</c:v>
                </c:pt>
                <c:pt idx="483">
                  <c:v>-102.26591716363508</c:v>
                </c:pt>
                <c:pt idx="484">
                  <c:v>-102.28282607091018</c:v>
                </c:pt>
                <c:pt idx="485">
                  <c:v>-102.3004203342752</c:v>
                </c:pt>
                <c:pt idx="486">
                  <c:v>-102.31830948932416</c:v>
                </c:pt>
                <c:pt idx="487">
                  <c:v>-102.33648835387574</c:v>
                </c:pt>
                <c:pt idx="488">
                  <c:v>-102.354951861209</c:v>
                </c:pt>
                <c:pt idx="489">
                  <c:v>-102.3741449983997</c:v>
                </c:pt>
                <c:pt idx="490">
                  <c:v>-102.39362611208402</c:v>
                </c:pt>
                <c:pt idx="491">
                  <c:v>-102.41339012021487</c:v>
                </c:pt>
                <c:pt idx="492">
                  <c:v>-102.43343205404544</c:v>
                </c:pt>
                <c:pt idx="493">
                  <c:v>-102.4542230238726</c:v>
                </c:pt>
                <c:pt idx="494">
                  <c:v>-102.47529482866436</c:v>
                </c:pt>
                <c:pt idx="495">
                  <c:v>-102.4966424928454</c:v>
                </c:pt>
                <c:pt idx="496">
                  <c:v>-102.51826115176915</c:v>
                </c:pt>
                <c:pt idx="497">
                  <c:v>-102.54066112501829</c:v>
                </c:pt>
                <c:pt idx="498">
                  <c:v>-102.56333495307609</c:v>
                </c:pt>
                <c:pt idx="499">
                  <c:v>-102.58627776290568</c:v>
                </c:pt>
                <c:pt idx="500">
                  <c:v>-102.6094847901209</c:v>
                </c:pt>
                <c:pt idx="501">
                  <c:v>-102.63350573774812</c:v>
                </c:pt>
                <c:pt idx="502">
                  <c:v>-102.65779369930851</c:v>
                </c:pt>
                <c:pt idx="503">
                  <c:v>-102.6823439008264</c:v>
                </c:pt>
                <c:pt idx="504">
                  <c:v>-102.70715167478029</c:v>
                </c:pt>
                <c:pt idx="505">
                  <c:v>-102.73279060835871</c:v>
                </c:pt>
                <c:pt idx="506">
                  <c:v>-102.75868952190584</c:v>
                </c:pt>
                <c:pt idx="507">
                  <c:v>-102.78484374583552</c:v>
                </c:pt>
                <c:pt idx="508">
                  <c:v>-102.81124871463926</c:v>
                </c:pt>
                <c:pt idx="509">
                  <c:v>-102.83851699072908</c:v>
                </c:pt>
                <c:pt idx="510">
                  <c:v>-102.86603835563987</c:v>
                </c:pt>
                <c:pt idx="511">
                  <c:v>-102.89380824047875</c:v>
                </c:pt>
                <c:pt idx="512">
                  <c:v>-102.92182217814265</c:v>
                </c:pt>
                <c:pt idx="513">
                  <c:v>-102.95074858822841</c:v>
                </c:pt>
                <c:pt idx="514">
                  <c:v>-102.97992160245518</c:v>
                </c:pt>
                <c:pt idx="515">
                  <c:v>-103.00933674162522</c:v>
                </c:pt>
                <c:pt idx="516">
                  <c:v>-103.0389896263476</c:v>
                </c:pt>
                <c:pt idx="517">
                  <c:v>-103.0695709211106</c:v>
                </c:pt>
                <c:pt idx="518">
                  <c:v>-103.10039213473407</c:v>
                </c:pt>
                <c:pt idx="519">
                  <c:v>-103.13144888299135</c:v>
                </c:pt>
                <c:pt idx="520">
                  <c:v>-103.1627368793047</c:v>
                </c:pt>
                <c:pt idx="521">
                  <c:v>-103.19498584346326</c:v>
                </c:pt>
                <c:pt idx="522">
                  <c:v>-103.22746813323282</c:v>
                </c:pt>
                <c:pt idx="523">
                  <c:v>-103.26017945665123</c:v>
                </c:pt>
                <c:pt idx="524">
                  <c:v>-103.2931156173082</c:v>
                </c:pt>
                <c:pt idx="525">
                  <c:v>-103.32704534032017</c:v>
                </c:pt>
                <c:pt idx="526">
                  <c:v>-103.36120187351209</c:v>
                </c:pt>
                <c:pt idx="527">
                  <c:v>-103.39558101474266</c:v>
                </c:pt>
                <c:pt idx="528">
                  <c:v>-103.43017865537979</c:v>
                </c:pt>
                <c:pt idx="529">
                  <c:v>-103.46580244319807</c:v>
                </c:pt>
                <c:pt idx="530">
                  <c:v>-103.50164659073745</c:v>
                </c:pt>
                <c:pt idx="531">
                  <c:v>-103.53770698346352</c:v>
                </c:pt>
                <c:pt idx="532">
                  <c:v>-103.57397959835745</c:v>
                </c:pt>
                <c:pt idx="533">
                  <c:v>-103.61133022054692</c:v>
                </c:pt>
                <c:pt idx="534">
                  <c:v>-103.64889502422672</c:v>
                </c:pt>
                <c:pt idx="535">
                  <c:v>-103.68666997428367</c:v>
                </c:pt>
                <c:pt idx="536">
                  <c:v>-103.72465112535227</c:v>
                </c:pt>
                <c:pt idx="537">
                  <c:v>-103.76370384985498</c:v>
                </c:pt>
                <c:pt idx="538">
                  <c:v>-103.80296417461877</c:v>
                </c:pt>
                <c:pt idx="539">
                  <c:v>-103.84242815463976</c:v>
                </c:pt>
                <c:pt idx="540">
                  <c:v>-103.88209193256307</c:v>
                </c:pt>
                <c:pt idx="541">
                  <c:v>-103.92289929750214</c:v>
                </c:pt>
                <c:pt idx="542">
                  <c:v>-103.96390813864173</c:v>
                </c:pt>
                <c:pt idx="543">
                  <c:v>-104.00511458738968</c:v>
                </c:pt>
                <c:pt idx="544">
                  <c:v>-104.04651486109465</c:v>
                </c:pt>
                <c:pt idx="545">
                  <c:v>-104.0890708896554</c:v>
                </c:pt>
                <c:pt idx="546">
                  <c:v>-104.13182208042977</c:v>
                </c:pt>
                <c:pt idx="547">
                  <c:v>-104.1747646457473</c:v>
                </c:pt>
                <c:pt idx="548">
                  <c:v>-104.21789488202486</c:v>
                </c:pt>
                <c:pt idx="549">
                  <c:v>-104.26221280231428</c:v>
                </c:pt>
                <c:pt idx="550">
                  <c:v>-104.30671958854087</c:v>
                </c:pt>
                <c:pt idx="551">
                  <c:v>-104.35141153249802</c:v>
                </c:pt>
                <c:pt idx="552">
                  <c:v>-104.39628500824421</c:v>
                </c:pt>
                <c:pt idx="553">
                  <c:v>-104.44239911919385</c:v>
                </c:pt>
                <c:pt idx="554">
                  <c:v>-104.48869597667122</c:v>
                </c:pt>
                <c:pt idx="555">
                  <c:v>-104.53517194562232</c:v>
                </c:pt>
                <c:pt idx="556">
                  <c:v>-104.58182347161153</c:v>
                </c:pt>
                <c:pt idx="557">
                  <c:v>-104.67784824337092</c:v>
                </c:pt>
                <c:pt idx="558">
                  <c:v>-104.77456526716382</c:v>
                </c:pt>
                <c:pt idx="559">
                  <c:v>-104.87418667868801</c:v>
                </c:pt>
                <c:pt idx="560">
                  <c:v>-104.97447538896574</c:v>
                </c:pt>
                <c:pt idx="561">
                  <c:v>-105.07780661019393</c:v>
                </c:pt>
                <c:pt idx="562">
                  <c:v>-105.1817812298205</c:v>
                </c:pt>
                <c:pt idx="563">
                  <c:v>-105.2886238130931</c:v>
                </c:pt>
                <c:pt idx="564">
                  <c:v>-105.39608313241023</c:v>
                </c:pt>
                <c:pt idx="565">
                  <c:v>-105.5068647752349</c:v>
                </c:pt>
                <c:pt idx="566">
                  <c:v>-105.61824097029915</c:v>
                </c:pt>
                <c:pt idx="567">
                  <c:v>-105.7329460247563</c:v>
                </c:pt>
                <c:pt idx="568">
                  <c:v>-105.84822243188225</c:v>
                </c:pt>
                <c:pt idx="569">
                  <c:v>-105.96636706910392</c:v>
                </c:pt>
                <c:pt idx="570">
                  <c:v>-106.08505479746792</c:v>
                </c:pt>
                <c:pt idx="571">
                  <c:v>-106.20754080307286</c:v>
                </c:pt>
                <c:pt idx="572">
                  <c:v>-106.33054939236584</c:v>
                </c:pt>
                <c:pt idx="573">
                  <c:v>-106.45641822738837</c:v>
                </c:pt>
                <c:pt idx="574">
                  <c:v>-106.5827804920083</c:v>
                </c:pt>
                <c:pt idx="575">
                  <c:v>-106.71294423910273</c:v>
                </c:pt>
                <c:pt idx="576">
                  <c:v>-106.84357909614246</c:v>
                </c:pt>
                <c:pt idx="577">
                  <c:v>-107.4013400483507</c:v>
                </c:pt>
                <c:pt idx="578">
                  <c:v>-107.96559667066927</c:v>
                </c:pt>
                <c:pt idx="579">
                  <c:v>-109.21874439480277</c:v>
                </c:pt>
                <c:pt idx="580">
                  <c:v>-110.6107325671472</c:v>
                </c:pt>
                <c:pt idx="581">
                  <c:v>-112.14545039733295</c:v>
                </c:pt>
                <c:pt idx="582">
                  <c:v>-113.82983126686639</c:v>
                </c:pt>
                <c:pt idx="583">
                  <c:v>-115.66887639563346</c:v>
                </c:pt>
                <c:pt idx="584">
                  <c:v>-117.67080353698088</c:v>
                </c:pt>
                <c:pt idx="585">
                  <c:v>-119.84238234533076</c:v>
                </c:pt>
                <c:pt idx="586">
                  <c:v>-122.19351834579345</c:v>
                </c:pt>
                <c:pt idx="587">
                  <c:v>-124.73808122883352</c:v>
                </c:pt>
                <c:pt idx="588">
                  <c:v>-127.49038677136966</c:v>
                </c:pt>
                <c:pt idx="589">
                  <c:v>-130.47535848782942</c:v>
                </c:pt>
                <c:pt idx="590">
                  <c:v>-133.72270532907871</c:v>
                </c:pt>
                <c:pt idx="591">
                  <c:v>-137.27338558703826</c:v>
                </c:pt>
                <c:pt idx="592">
                  <c:v>-141.17892441001433</c:v>
                </c:pt>
                <c:pt idx="593">
                  <c:v>-145.50400061033321</c:v>
                </c:pt>
                <c:pt idx="594">
                  <c:v>-150.31974586199328</c:v>
                </c:pt>
                <c:pt idx="595">
                  <c:v>-155.70067595750717</c:v>
                </c:pt>
                <c:pt idx="596">
                  <c:v>-161.70600489890617</c:v>
                </c:pt>
                <c:pt idx="597">
                  <c:v>-168.36113045059102</c:v>
                </c:pt>
                <c:pt idx="598">
                  <c:v>-175.62338163478537</c:v>
                </c:pt>
                <c:pt idx="599">
                  <c:v>-183.36376238816592</c:v>
                </c:pt>
                <c:pt idx="600">
                  <c:v>0</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59913</c:v>
                </c:pt>
                <c:pt idx="1">
                  <c:v>59913</c:v>
                </c:pt>
              </c:numCache>
            </c:numRef>
          </c:xVal>
          <c:yVal>
            <c:numRef>
              <c:f>'Ch2 Stability Calculations'!$R$617:$R$618</c:f>
              <c:numCache>
                <c:formatCode>0.00</c:formatCode>
                <c:ptCount val="2"/>
                <c:pt idx="0">
                  <c:v>-102.14351430240657</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59913</c:v>
                </c:pt>
                <c:pt idx="1">
                  <c:v>1000000</c:v>
                </c:pt>
              </c:numCache>
            </c:numRef>
          </c:xVal>
          <c:yVal>
            <c:numRef>
              <c:f>'Ch2 Stability Calculations'!$R$619:$R$620</c:f>
              <c:numCache>
                <c:formatCode>0.00</c:formatCode>
                <c:ptCount val="2"/>
                <c:pt idx="1">
                  <c:v>-102.14351430240657</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Calculations'!$AW$9:$AW$109</c:f>
              <c:numCache>
                <c:formatCode>0.0</c:formatCode>
                <c:ptCount val="101"/>
                <c:pt idx="0">
                  <c:v>30.368763100374967</c:v>
                </c:pt>
                <c:pt idx="1">
                  <c:v>31.383370019707606</c:v>
                </c:pt>
                <c:pt idx="2">
                  <c:v>32.358825648990958</c:v>
                </c:pt>
                <c:pt idx="3">
                  <c:v>33.295131559693147</c:v>
                </c:pt>
                <c:pt idx="4">
                  <c:v>34.300406174092082</c:v>
                </c:pt>
                <c:pt idx="5">
                  <c:v>35.325951536684983</c:v>
                </c:pt>
                <c:pt idx="6">
                  <c:v>36.353115441390237</c:v>
                </c:pt>
                <c:pt idx="7">
                  <c:v>37.381901516083992</c:v>
                </c:pt>
                <c:pt idx="8">
                  <c:v>38.412313445130039</c:v>
                </c:pt>
                <c:pt idx="9">
                  <c:v>39.444354969607929</c:v>
                </c:pt>
                <c:pt idx="10">
                  <c:v>40.478029887546143</c:v>
                </c:pt>
                <c:pt idx="11">
                  <c:v>41.513342054160113</c:v>
                </c:pt>
                <c:pt idx="12">
                  <c:v>42.550295382095427</c:v>
                </c:pt>
                <c:pt idx="13">
                  <c:v>43.588893841675869</c:v>
                </c:pt>
                <c:pt idx="14">
                  <c:v>44.629141461156742</c:v>
                </c:pt>
                <c:pt idx="15">
                  <c:v>45.671042326983127</c:v>
                </c:pt>
                <c:pt idx="16">
                  <c:v>46.714600584053464</c:v>
                </c:pt>
                <c:pt idx="17">
                  <c:v>47.759820435988146</c:v>
                </c:pt>
                <c:pt idx="18">
                  <c:v>48.806706145403432</c:v>
                </c:pt>
                <c:pt idx="19">
                  <c:v>49.855262034190581</c:v>
                </c:pt>
                <c:pt idx="20">
                  <c:v>50.905492483800316</c:v>
                </c:pt>
                <c:pt idx="21">
                  <c:v>51.957401935532573</c:v>
                </c:pt>
                <c:pt idx="22">
                  <c:v>53.010994890831633</c:v>
                </c:pt>
                <c:pt idx="23">
                  <c:v>54.066275911586651</c:v>
                </c:pt>
                <c:pt idx="24">
                  <c:v>55.12324962043774</c:v>
                </c:pt>
                <c:pt idx="25">
                  <c:v>56.181920701087385</c:v>
                </c:pt>
                <c:pt idx="26">
                  <c:v>57.242293898617525</c:v>
                </c:pt>
                <c:pt idx="27">
                  <c:v>58.30437401981218</c:v>
                </c:pt>
                <c:pt idx="28">
                  <c:v>59.368165933485685</c:v>
                </c:pt>
                <c:pt idx="29">
                  <c:v>60.433674570816606</c:v>
                </c:pt>
                <c:pt idx="30">
                  <c:v>61.500904925687493</c:v>
                </c:pt>
                <c:pt idx="31">
                  <c:v>62.569862055030121</c:v>
                </c:pt>
                <c:pt idx="32">
                  <c:v>63.640551079176873</c:v>
                </c:pt>
                <c:pt idx="33">
                  <c:v>64.712977182217841</c:v>
                </c:pt>
                <c:pt idx="34">
                  <c:v>65.787145612363801</c:v>
                </c:pt>
                <c:pt idx="35">
                  <c:v>66.863061682315234</c:v>
                </c:pt>
                <c:pt idx="36">
                  <c:v>67.940730769637426</c:v>
                </c:pt>
                <c:pt idx="37">
                  <c:v>69.020158317141494</c:v>
                </c:pt>
                <c:pt idx="38">
                  <c:v>70.101349833271669</c:v>
                </c:pt>
                <c:pt idx="39">
                  <c:v>71.1843108924988</c:v>
                </c:pt>
                <c:pt idx="40">
                  <c:v>72.269047135719973</c:v>
                </c:pt>
                <c:pt idx="41">
                  <c:v>73.355564270664587</c:v>
                </c:pt>
                <c:pt idx="42">
                  <c:v>74.443868072306614</c:v>
                </c:pt>
                <c:pt idx="43">
                  <c:v>75.533964383283589</c:v>
                </c:pt>
                <c:pt idx="44">
                  <c:v>76.625859114321742</c:v>
                </c:pt>
                <c:pt idx="45">
                  <c:v>77.719558244667923</c:v>
                </c:pt>
                <c:pt idx="46">
                  <c:v>78.815067822528135</c:v>
                </c:pt>
                <c:pt idx="47">
                  <c:v>79.912393965512621</c:v>
                </c:pt>
                <c:pt idx="48">
                  <c:v>81.01154286108779</c:v>
                </c:pt>
                <c:pt idx="49">
                  <c:v>82.112520767034994</c:v>
                </c:pt>
                <c:pt idx="50">
                  <c:v>83.21533401191617</c:v>
                </c:pt>
                <c:pt idx="51">
                  <c:v>84.319988995546353</c:v>
                </c:pt>
                <c:pt idx="52">
                  <c:v>85.426492189473421</c:v>
                </c:pt>
                <c:pt idx="53">
                  <c:v>86.534850137464758</c:v>
                </c:pt>
                <c:pt idx="54">
                  <c:v>87.645069456001181</c:v>
                </c:pt>
                <c:pt idx="55">
                  <c:v>88.757156834778115</c:v>
                </c:pt>
                <c:pt idx="56">
                  <c:v>89.871119037214186</c:v>
                </c:pt>
                <c:pt idx="57">
                  <c:v>90.986962900967001</c:v>
                </c:pt>
                <c:pt idx="58">
                  <c:v>92.104695338456708</c:v>
                </c:pt>
                <c:pt idx="59">
                  <c:v>93.22432333739701</c:v>
                </c:pt>
                <c:pt idx="60">
                  <c:v>94.345853961333574</c:v>
                </c:pt>
                <c:pt idx="61">
                  <c:v>95.46929435019085</c:v>
                </c:pt>
                <c:pt idx="62">
                  <c:v>96.594651720825951</c:v>
                </c:pt>
                <c:pt idx="63">
                  <c:v>97.721933367590964</c:v>
                </c:pt>
                <c:pt idx="64">
                  <c:v>98.851146662903105</c:v>
                </c:pt>
                <c:pt idx="65">
                  <c:v>99.982299057823013</c:v>
                </c:pt>
                <c:pt idx="66">
                  <c:v>101.11539808264102</c:v>
                </c:pt>
                <c:pt idx="67">
                  <c:v>102.25045134747215</c:v>
                </c:pt>
                <c:pt idx="68">
                  <c:v>103.38746654285906</c:v>
                </c:pt>
                <c:pt idx="69">
                  <c:v>104.52645144038367</c:v>
                </c:pt>
                <c:pt idx="70">
                  <c:v>105.66741389328733</c:v>
                </c:pt>
                <c:pt idx="71">
                  <c:v>106.81036183709971</c:v>
                </c:pt>
                <c:pt idx="72">
                  <c:v>107.95530329027636</c:v>
                </c:pt>
                <c:pt idx="73">
                  <c:v>109.10224635484526</c:v>
                </c:pt>
                <c:pt idx="74">
                  <c:v>110.25119921706236</c:v>
                </c:pt>
                <c:pt idx="75">
                  <c:v>111.40217014807607</c:v>
                </c:pt>
                <c:pt idx="76">
                  <c:v>112.55516750460106</c:v>
                </c:pt>
                <c:pt idx="77">
                  <c:v>113.71019972960164</c:v>
                </c:pt>
                <c:pt idx="78">
                  <c:v>114.86727535298394</c:v>
                </c:pt>
                <c:pt idx="79">
                  <c:v>116.02640299229824</c:v>
                </c:pt>
                <c:pt idx="80">
                  <c:v>117.18759135345071</c:v>
                </c:pt>
                <c:pt idx="81">
                  <c:v>118.35084923142504</c:v>
                </c:pt>
                <c:pt idx="82">
                  <c:v>119.51618551101362</c:v>
                </c:pt>
                <c:pt idx="83">
                  <c:v>120.68360916755938</c:v>
                </c:pt>
                <c:pt idx="84">
                  <c:v>121.8531292677071</c:v>
                </c:pt>
                <c:pt idx="85">
                  <c:v>123.02475497016579</c:v>
                </c:pt>
                <c:pt idx="86">
                  <c:v>124.19849552648043</c:v>
                </c:pt>
                <c:pt idx="87">
                  <c:v>125.37436028181546</c:v>
                </c:pt>
                <c:pt idx="88">
                  <c:v>126.552358675748</c:v>
                </c:pt>
                <c:pt idx="89">
                  <c:v>127.73250024307225</c:v>
                </c:pt>
                <c:pt idx="90">
                  <c:v>128.914794614615</c:v>
                </c:pt>
                <c:pt idx="91">
                  <c:v>130.09925151806198</c:v>
                </c:pt>
                <c:pt idx="92">
                  <c:v>131.28588077879559</c:v>
                </c:pt>
                <c:pt idx="93">
                  <c:v>132.47469232074397</c:v>
                </c:pt>
                <c:pt idx="94">
                  <c:v>133.66569616724146</c:v>
                </c:pt>
                <c:pt idx="95">
                  <c:v>134.85890244190131</c:v>
                </c:pt>
                <c:pt idx="96">
                  <c:v>136.05432136949941</c:v>
                </c:pt>
                <c:pt idx="97">
                  <c:v>137.25196327687067</c:v>
                </c:pt>
                <c:pt idx="98">
                  <c:v>138.45183859381746</c:v>
                </c:pt>
                <c:pt idx="99">
                  <c:v>139.65395785402984</c:v>
                </c:pt>
                <c:pt idx="100">
                  <c:v>140.85833169601926</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Calculations'!$AX$9:$AX$109</c:f>
              <c:numCache>
                <c:formatCode>0.0</c:formatCode>
                <c:ptCount val="101"/>
                <c:pt idx="0">
                  <c:v>0.11826023305174167</c:v>
                </c:pt>
                <c:pt idx="1">
                  <c:v>0.47146334444667304</c:v>
                </c:pt>
                <c:pt idx="2">
                  <c:v>0.82468905872056952</c:v>
                </c:pt>
                <c:pt idx="3">
                  <c:v>1.1779373519289837</c:v>
                </c:pt>
                <c:pt idx="4">
                  <c:v>1.562170622772594</c:v>
                </c:pt>
                <c:pt idx="5">
                  <c:v>1.9527602241248831</c:v>
                </c:pt>
                <c:pt idx="6">
                  <c:v>2.3433723752291113</c:v>
                </c:pt>
                <c:pt idx="7">
                  <c:v>2.7340070621367794</c:v>
                </c:pt>
                <c:pt idx="8">
                  <c:v>3.124664270871043</c:v>
                </c:pt>
                <c:pt idx="9">
                  <c:v>3.5153439874266716</c:v>
                </c:pt>
                <c:pt idx="10">
                  <c:v>3.9060461977699994</c:v>
                </c:pt>
                <c:pt idx="11">
                  <c:v>4.2967708878388899</c:v>
                </c:pt>
                <c:pt idx="12">
                  <c:v>4.6875180435426858</c:v>
                </c:pt>
                <c:pt idx="13">
                  <c:v>5.0782876507621699</c:v>
                </c:pt>
                <c:pt idx="14">
                  <c:v>5.4690796953495244</c:v>
                </c:pt>
                <c:pt idx="15">
                  <c:v>5.8598941631282813</c:v>
                </c:pt>
                <c:pt idx="16">
                  <c:v>6.2507310398932869</c:v>
                </c:pt>
                <c:pt idx="17">
                  <c:v>6.6415903114106527</c:v>
                </c:pt>
                <c:pt idx="18">
                  <c:v>7.0324719634177129</c:v>
                </c:pt>
                <c:pt idx="19">
                  <c:v>7.4233759816229847</c:v>
                </c:pt>
                <c:pt idx="20">
                  <c:v>7.814302351706127</c:v>
                </c:pt>
                <c:pt idx="21">
                  <c:v>8.2052510593178898</c:v>
                </c:pt>
                <c:pt idx="22">
                  <c:v>8.5962220900800794</c:v>
                </c:pt>
                <c:pt idx="23">
                  <c:v>8.9872154295855022</c:v>
                </c:pt>
                <c:pt idx="24">
                  <c:v>9.378231063397946</c:v>
                </c:pt>
                <c:pt idx="25">
                  <c:v>9.7692689770521088</c:v>
                </c:pt>
                <c:pt idx="26">
                  <c:v>10.160329156053578</c:v>
                </c:pt>
                <c:pt idx="27">
                  <c:v>10.551411585878769</c:v>
                </c:pt>
                <c:pt idx="28">
                  <c:v>10.942516251974904</c:v>
                </c:pt>
                <c:pt idx="29">
                  <c:v>11.333643139759943</c:v>
                </c:pt>
                <c:pt idx="30">
                  <c:v>11.724792234622569</c:v>
                </c:pt>
                <c:pt idx="31">
                  <c:v>12.115963521922122</c:v>
                </c:pt>
                <c:pt idx="32">
                  <c:v>12.507156986988555</c:v>
                </c:pt>
                <c:pt idx="33">
                  <c:v>12.898372615122423</c:v>
                </c:pt>
                <c:pt idx="34">
                  <c:v>13.289610391594797</c:v>
                </c:pt>
                <c:pt idx="35">
                  <c:v>13.68087030164725</c:v>
                </c:pt>
                <c:pt idx="36">
                  <c:v>14.072152330491809</c:v>
                </c:pt>
                <c:pt idx="37">
                  <c:v>14.463456463310905</c:v>
                </c:pt>
                <c:pt idx="38">
                  <c:v>14.854782685257325</c:v>
                </c:pt>
                <c:pt idx="39">
                  <c:v>15.246130981454193</c:v>
                </c:pt>
                <c:pt idx="40">
                  <c:v>15.637501336994896</c:v>
                </c:pt>
                <c:pt idx="41">
                  <c:v>16.028893736943076</c:v>
                </c:pt>
                <c:pt idx="42">
                  <c:v>16.420308166332546</c:v>
                </c:pt>
                <c:pt idx="43">
                  <c:v>16.811744610167281</c:v>
                </c:pt>
                <c:pt idx="44">
                  <c:v>17.203203053421362</c:v>
                </c:pt>
                <c:pt idx="45">
                  <c:v>17.594683481038928</c:v>
                </c:pt>
                <c:pt idx="46">
                  <c:v>17.986185877934144</c:v>
                </c:pt>
                <c:pt idx="47">
                  <c:v>18.377710228991152</c:v>
                </c:pt>
                <c:pt idx="48">
                  <c:v>18.769256519064026</c:v>
                </c:pt>
                <c:pt idx="49">
                  <c:v>19.160824732976735</c:v>
                </c:pt>
                <c:pt idx="50">
                  <c:v>19.552414855523089</c:v>
                </c:pt>
                <c:pt idx="51">
                  <c:v>19.944026871466715</c:v>
                </c:pt>
                <c:pt idx="52">
                  <c:v>20.335660765541004</c:v>
                </c:pt>
                <c:pt idx="53">
                  <c:v>20.727316522449044</c:v>
                </c:pt>
                <c:pt idx="54">
                  <c:v>21.11899412686363</c:v>
                </c:pt>
                <c:pt idx="55">
                  <c:v>21.510693563427168</c:v>
                </c:pt>
                <c:pt idx="56">
                  <c:v>21.902414816751683</c:v>
                </c:pt>
                <c:pt idx="57">
                  <c:v>22.294157871418705</c:v>
                </c:pt>
                <c:pt idx="58">
                  <c:v>22.685922711979305</c:v>
                </c:pt>
                <c:pt idx="59">
                  <c:v>23.077709322954021</c:v>
                </c:pt>
                <c:pt idx="60">
                  <c:v>23.469517688832756</c:v>
                </c:pt>
                <c:pt idx="61">
                  <c:v>23.86134779407486</c:v>
                </c:pt>
                <c:pt idx="62">
                  <c:v>24.253199623108983</c:v>
                </c:pt>
                <c:pt idx="63">
                  <c:v>24.645073160333041</c:v>
                </c:pt>
                <c:pt idx="64">
                  <c:v>25.036968390114247</c:v>
                </c:pt>
                <c:pt idx="65">
                  <c:v>25.428885296788991</c:v>
                </c:pt>
                <c:pt idx="66">
                  <c:v>25.82082386466282</c:v>
                </c:pt>
                <c:pt idx="67">
                  <c:v>26.212784078010408</c:v>
                </c:pt>
                <c:pt idx="68">
                  <c:v>26.604765921075522</c:v>
                </c:pt>
                <c:pt idx="69">
                  <c:v>26.996769378070923</c:v>
                </c:pt>
                <c:pt idx="70">
                  <c:v>27.388794433178401</c:v>
                </c:pt>
                <c:pt idx="71">
                  <c:v>27.780841070548661</c:v>
                </c:pt>
                <c:pt idx="72">
                  <c:v>28.172909274301343</c:v>
                </c:pt>
                <c:pt idx="73">
                  <c:v>28.564999028524927</c:v>
                </c:pt>
                <c:pt idx="74">
                  <c:v>28.957110317276715</c:v>
                </c:pt>
                <c:pt idx="75">
                  <c:v>29.349243124582792</c:v>
                </c:pt>
                <c:pt idx="76">
                  <c:v>29.741397434437964</c:v>
                </c:pt>
                <c:pt idx="77">
                  <c:v>30.133573230805744</c:v>
                </c:pt>
                <c:pt idx="78">
                  <c:v>30.525770497618275</c:v>
                </c:pt>
                <c:pt idx="79">
                  <c:v>30.917989218776317</c:v>
                </c:pt>
                <c:pt idx="80">
                  <c:v>31.310229378149177</c:v>
                </c:pt>
                <c:pt idx="81">
                  <c:v>31.7024909595747</c:v>
                </c:pt>
                <c:pt idx="82">
                  <c:v>32.094773946859192</c:v>
                </c:pt>
                <c:pt idx="83">
                  <c:v>32.487078323777396</c:v>
                </c:pt>
                <c:pt idx="84">
                  <c:v>32.879404074072433</c:v>
                </c:pt>
                <c:pt idx="85">
                  <c:v>33.271751181455805</c:v>
                </c:pt>
                <c:pt idx="86">
                  <c:v>33.664119629607271</c:v>
                </c:pt>
                <c:pt idx="87">
                  <c:v>34.056509402174889</c:v>
                </c:pt>
                <c:pt idx="88">
                  <c:v>34.448920482774938</c:v>
                </c:pt>
                <c:pt idx="89">
                  <c:v>34.841352854991833</c:v>
                </c:pt>
                <c:pt idx="90">
                  <c:v>35.233806502378151</c:v>
                </c:pt>
                <c:pt idx="91">
                  <c:v>35.626281408454574</c:v>
                </c:pt>
                <c:pt idx="92">
                  <c:v>36.018777556709786</c:v>
                </c:pt>
                <c:pt idx="93">
                  <c:v>36.411294930600526</c:v>
                </c:pt>
                <c:pt idx="94">
                  <c:v>36.80383351355146</c:v>
                </c:pt>
                <c:pt idx="95">
                  <c:v>37.196393288955186</c:v>
                </c:pt>
                <c:pt idx="96">
                  <c:v>37.58897424017217</c:v>
                </c:pt>
                <c:pt idx="97">
                  <c:v>37.981576350530723</c:v>
                </c:pt>
                <c:pt idx="98">
                  <c:v>38.37419960332695</c:v>
                </c:pt>
                <c:pt idx="99">
                  <c:v>38.766843981824671</c:v>
                </c:pt>
                <c:pt idx="100">
                  <c:v>39.159509469255468</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Calculations'!$AC$9:$AC$109</c:f>
              <c:numCache>
                <c:formatCode>0.000</c:formatCode>
                <c:ptCount val="101"/>
                <c:pt idx="0">
                  <c:v>4.7990977696193109E-5</c:v>
                </c:pt>
                <c:pt idx="1">
                  <c:v>6.2232675366911765E-5</c:v>
                </c:pt>
                <c:pt idx="2">
                  <c:v>1.0504796651911096E-4</c:v>
                </c:pt>
                <c:pt idx="3">
                  <c:v>1.7643899910153174E-4</c:v>
                </c:pt>
                <c:pt idx="4">
                  <c:v>2.7640792105268648E-4</c:v>
                </c:pt>
                <c:pt idx="5">
                  <c:v>4.0495688030085965E-4</c:v>
                </c:pt>
                <c:pt idx="6">
                  <c:v>5.6208802476410914E-4</c:v>
                </c:pt>
                <c:pt idx="7">
                  <c:v>7.4780350235026426E-4</c:v>
                </c:pt>
                <c:pt idx="8">
                  <c:v>9.6210546095692735E-4</c:v>
                </c:pt>
                <c:pt idx="9">
                  <c:v>1.204996048471473E-3</c:v>
                </c:pt>
                <c:pt idx="10">
                  <c:v>1.4764774127710492E-3</c:v>
                </c:pt>
                <c:pt idx="11">
                  <c:v>1.7765517017225745E-3</c:v>
                </c:pt>
                <c:pt idx="12">
                  <c:v>2.1052210631827429E-3</c:v>
                </c:pt>
                <c:pt idx="13">
                  <c:v>2.4624876449980205E-3</c:v>
                </c:pt>
                <c:pt idx="14">
                  <c:v>2.8483535950046442E-3</c:v>
                </c:pt>
                <c:pt idx="15">
                  <c:v>3.262821061028627E-3</c:v>
                </c:pt>
                <c:pt idx="16">
                  <c:v>3.7058921908857535E-3</c:v>
                </c:pt>
                <c:pt idx="17">
                  <c:v>4.1775691323815761E-3</c:v>
                </c:pt>
                <c:pt idx="18">
                  <c:v>4.6778540333114339E-3</c:v>
                </c:pt>
                <c:pt idx="19">
                  <c:v>5.2067490414604211E-3</c:v>
                </c:pt>
                <c:pt idx="20">
                  <c:v>5.7642563046034221E-3</c:v>
                </c:pt>
                <c:pt idx="21">
                  <c:v>6.3503779705050842E-3</c:v>
                </c:pt>
                <c:pt idx="22">
                  <c:v>6.9651161869198281E-3</c:v>
                </c:pt>
                <c:pt idx="23">
                  <c:v>7.6084731015918523E-3</c:v>
                </c:pt>
                <c:pt idx="24">
                  <c:v>8.2804508622551336E-3</c:v>
                </c:pt>
                <c:pt idx="25">
                  <c:v>8.9810516166334044E-3</c:v>
                </c:pt>
                <c:pt idx="26">
                  <c:v>9.710277512440196E-3</c:v>
                </c:pt>
                <c:pt idx="27">
                  <c:v>1.0468130697378784E-2</c:v>
                </c:pt>
                <c:pt idx="28">
                  <c:v>1.1254613319142244E-2</c:v>
                </c:pt>
                <c:pt idx="29">
                  <c:v>1.2069727525413416E-2</c:v>
                </c:pt>
                <c:pt idx="30">
                  <c:v>1.29134754638649E-2</c:v>
                </c:pt>
                <c:pt idx="31">
                  <c:v>1.3785859282159096E-2</c:v>
                </c:pt>
                <c:pt idx="32">
                  <c:v>1.468688112794816E-2</c:v>
                </c:pt>
                <c:pt idx="33">
                  <c:v>1.5616543148874017E-2</c:v>
                </c:pt>
                <c:pt idx="34">
                  <c:v>1.6574847492568386E-2</c:v>
                </c:pt>
                <c:pt idx="35">
                  <c:v>1.7561796306652753E-2</c:v>
                </c:pt>
                <c:pt idx="36">
                  <c:v>1.8577391738738357E-2</c:v>
                </c:pt>
                <c:pt idx="37">
                  <c:v>1.9621635936426254E-2</c:v>
                </c:pt>
                <c:pt idx="38">
                  <c:v>2.069453104730723E-2</c:v>
                </c:pt>
                <c:pt idx="39">
                  <c:v>2.1796079218961865E-2</c:v>
                </c:pt>
                <c:pt idx="40">
                  <c:v>2.2926282598960516E-2</c:v>
                </c:pt>
                <c:pt idx="41">
                  <c:v>2.4085143334863335E-2</c:v>
                </c:pt>
                <c:pt idx="42">
                  <c:v>2.5272663574220186E-2</c:v>
                </c:pt>
                <c:pt idx="43">
                  <c:v>2.6488845464570757E-2</c:v>
                </c:pt>
                <c:pt idx="44">
                  <c:v>2.7733691153444526E-2</c:v>
                </c:pt>
                <c:pt idx="45">
                  <c:v>2.9007202788360709E-2</c:v>
                </c:pt>
                <c:pt idx="46">
                  <c:v>3.0309382516828288E-2</c:v>
                </c:pt>
                <c:pt idx="47">
                  <c:v>3.1640232486346058E-2</c:v>
                </c:pt>
                <c:pt idx="48">
                  <c:v>3.2999754844402554E-2</c:v>
                </c:pt>
                <c:pt idx="49">
                  <c:v>3.4387951738476134E-2</c:v>
                </c:pt>
                <c:pt idx="50">
                  <c:v>3.5804825316034863E-2</c:v>
                </c:pt>
                <c:pt idx="51">
                  <c:v>3.725037772453664E-2</c:v>
                </c:pt>
                <c:pt idx="52">
                  <c:v>3.8724611111429129E-2</c:v>
                </c:pt>
                <c:pt idx="53">
                  <c:v>4.0227527624149717E-2</c:v>
                </c:pt>
                <c:pt idx="54">
                  <c:v>4.1759129410125648E-2</c:v>
                </c:pt>
                <c:pt idx="55">
                  <c:v>4.331941861677388E-2</c:v>
                </c:pt>
                <c:pt idx="56">
                  <c:v>4.4908397391501154E-2</c:v>
                </c:pt>
                <c:pt idx="57">
                  <c:v>4.6526067881704027E-2</c:v>
                </c:pt>
                <c:pt idx="58">
                  <c:v>4.8172432234768789E-2</c:v>
                </c:pt>
                <c:pt idx="59">
                  <c:v>4.9847492598071551E-2</c:v>
                </c:pt>
                <c:pt idx="60">
                  <c:v>5.1551251118978084E-2</c:v>
                </c:pt>
                <c:pt idx="61">
                  <c:v>5.3283709944844104E-2</c:v>
                </c:pt>
                <c:pt idx="62">
                  <c:v>5.5044871223015011E-2</c:v>
                </c:pt>
                <c:pt idx="63">
                  <c:v>5.6834737100825934E-2</c:v>
                </c:pt>
                <c:pt idx="64">
                  <c:v>5.8653309725601878E-2</c:v>
                </c:pt>
                <c:pt idx="65">
                  <c:v>6.0500591244657557E-2</c:v>
                </c:pt>
                <c:pt idx="66">
                  <c:v>6.2376583805297488E-2</c:v>
                </c:pt>
                <c:pt idx="67">
                  <c:v>6.4281289554815949E-2</c:v>
                </c:pt>
                <c:pt idx="68">
                  <c:v>6.6214710640497026E-2</c:v>
                </c:pt>
                <c:pt idx="69">
                  <c:v>6.8176849209614573E-2</c:v>
                </c:pt>
                <c:pt idx="70">
                  <c:v>7.0167707409432151E-2</c:v>
                </c:pt>
                <c:pt idx="71">
                  <c:v>7.2187287387203189E-2</c:v>
                </c:pt>
                <c:pt idx="72">
                  <c:v>7.4235591290170794E-2</c:v>
                </c:pt>
                <c:pt idx="73">
                  <c:v>7.6312621265568023E-2</c:v>
                </c:pt>
                <c:pt idx="74">
                  <c:v>7.8418379460617527E-2</c:v>
                </c:pt>
                <c:pt idx="75">
                  <c:v>8.0552868022531782E-2</c:v>
                </c:pt>
                <c:pt idx="76">
                  <c:v>8.2716089098513107E-2</c:v>
                </c:pt>
                <c:pt idx="77">
                  <c:v>8.4908044835753552E-2</c:v>
                </c:pt>
                <c:pt idx="78">
                  <c:v>8.7128737381434895E-2</c:v>
                </c:pt>
                <c:pt idx="79">
                  <c:v>8.9378168882728815E-2</c:v>
                </c:pt>
                <c:pt idx="80">
                  <c:v>9.1656341486796675E-2</c:v>
                </c:pt>
                <c:pt idx="81">
                  <c:v>9.3963257340789599E-2</c:v>
                </c:pt>
                <c:pt idx="82">
                  <c:v>9.6298918591848526E-2</c:v>
                </c:pt>
                <c:pt idx="83">
                  <c:v>9.8663327387104233E-2</c:v>
                </c:pt>
                <c:pt idx="84">
                  <c:v>0.1010564858736771</c:v>
                </c:pt>
                <c:pt idx="85">
                  <c:v>0.10347839619867738</c:v>
                </c:pt>
                <c:pt idx="86">
                  <c:v>0.10592906050920535</c:v>
                </c:pt>
                <c:pt idx="87">
                  <c:v>0.10840848095235053</c:v>
                </c:pt>
                <c:pt idx="88">
                  <c:v>0.11091665967519279</c:v>
                </c:pt>
                <c:pt idx="89">
                  <c:v>0.11345359882480127</c:v>
                </c:pt>
                <c:pt idx="90">
                  <c:v>0.11601930054823527</c:v>
                </c:pt>
                <c:pt idx="91">
                  <c:v>0.1186137669925437</c:v>
                </c:pt>
                <c:pt idx="92">
                  <c:v>0.12123700030476517</c:v>
                </c:pt>
                <c:pt idx="93">
                  <c:v>0.12388900263192835</c:v>
                </c:pt>
                <c:pt idx="94">
                  <c:v>0.12656977612105136</c:v>
                </c:pt>
                <c:pt idx="95">
                  <c:v>0.12927932291914232</c:v>
                </c:pt>
                <c:pt idx="96">
                  <c:v>0.13201764517319894</c:v>
                </c:pt>
                <c:pt idx="97">
                  <c:v>0.1347847450302089</c:v>
                </c:pt>
                <c:pt idx="98">
                  <c:v>0.13758062463714965</c:v>
                </c:pt>
                <c:pt idx="99">
                  <c:v>0.14040528614098818</c:v>
                </c:pt>
                <c:pt idx="100">
                  <c:v>0.14325873168868156</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Calculations'!$AD$9:$AD$109</c:f>
              <c:numCache>
                <c:formatCode>0.000</c:formatCode>
                <c:ptCount val="101"/>
                <c:pt idx="0">
                  <c:v>0</c:v>
                </c:pt>
                <c:pt idx="1">
                  <c:v>3.7341174295440573E-3</c:v>
                </c:pt>
                <c:pt idx="2">
                  <c:v>7.4682348590881147E-3</c:v>
                </c:pt>
                <c:pt idx="3">
                  <c:v>1.1202352288632172E-2</c:v>
                </c:pt>
                <c:pt idx="4">
                  <c:v>1.4936469718176229E-2</c:v>
                </c:pt>
                <c:pt idx="5">
                  <c:v>1.8670587147720286E-2</c:v>
                </c:pt>
                <c:pt idx="6">
                  <c:v>2.2404704577264345E-2</c:v>
                </c:pt>
                <c:pt idx="7">
                  <c:v>2.61388220068084E-2</c:v>
                </c:pt>
                <c:pt idx="8">
                  <c:v>2.9872939436352459E-2</c:v>
                </c:pt>
                <c:pt idx="9">
                  <c:v>3.3607056865896524E-2</c:v>
                </c:pt>
                <c:pt idx="10">
                  <c:v>3.7341174295440573E-2</c:v>
                </c:pt>
                <c:pt idx="11">
                  <c:v>4.1075291724984628E-2</c:v>
                </c:pt>
                <c:pt idx="12">
                  <c:v>4.480940915452869E-2</c:v>
                </c:pt>
                <c:pt idx="13">
                  <c:v>4.8543526584072745E-2</c:v>
                </c:pt>
                <c:pt idx="14">
                  <c:v>5.22776440136168E-2</c:v>
                </c:pt>
                <c:pt idx="15">
                  <c:v>5.6011761443160862E-2</c:v>
                </c:pt>
                <c:pt idx="16">
                  <c:v>5.9745878872704918E-2</c:v>
                </c:pt>
                <c:pt idx="17">
                  <c:v>6.3479996302248959E-2</c:v>
                </c:pt>
                <c:pt idx="18">
                  <c:v>6.7214113731793049E-2</c:v>
                </c:pt>
                <c:pt idx="19">
                  <c:v>7.0948231161337083E-2</c:v>
                </c:pt>
                <c:pt idx="20">
                  <c:v>7.4682348590881145E-2</c:v>
                </c:pt>
                <c:pt idx="21">
                  <c:v>7.8416466020425207E-2</c:v>
                </c:pt>
                <c:pt idx="22">
                  <c:v>8.2150583449969256E-2</c:v>
                </c:pt>
                <c:pt idx="23">
                  <c:v>8.5884700879513318E-2</c:v>
                </c:pt>
                <c:pt idx="24">
                  <c:v>8.961881830905738E-2</c:v>
                </c:pt>
                <c:pt idx="25">
                  <c:v>9.3352935738601428E-2</c:v>
                </c:pt>
                <c:pt idx="26">
                  <c:v>9.708705316814549E-2</c:v>
                </c:pt>
                <c:pt idx="27">
                  <c:v>0.10082117059768955</c:v>
                </c:pt>
                <c:pt idx="28">
                  <c:v>0.1045552880272336</c:v>
                </c:pt>
                <c:pt idx="29">
                  <c:v>0.10828940545677766</c:v>
                </c:pt>
                <c:pt idx="30">
                  <c:v>0.11202352288632172</c:v>
                </c:pt>
                <c:pt idx="31">
                  <c:v>0.11575764031586579</c:v>
                </c:pt>
                <c:pt idx="32">
                  <c:v>0.11949175774540984</c:v>
                </c:pt>
                <c:pt idx="33">
                  <c:v>0.1232258751749539</c:v>
                </c:pt>
                <c:pt idx="34">
                  <c:v>0.12695999260449792</c:v>
                </c:pt>
                <c:pt idx="35">
                  <c:v>0.13069411003404199</c:v>
                </c:pt>
                <c:pt idx="36">
                  <c:v>0.1344282274635861</c:v>
                </c:pt>
                <c:pt idx="37">
                  <c:v>0.13816234489313012</c:v>
                </c:pt>
                <c:pt idx="38">
                  <c:v>0.14189646232267417</c:v>
                </c:pt>
                <c:pt idx="39">
                  <c:v>0.14563057975221821</c:v>
                </c:pt>
                <c:pt idx="40">
                  <c:v>0.14936469718176229</c:v>
                </c:pt>
                <c:pt idx="41">
                  <c:v>0.15309881461130634</c:v>
                </c:pt>
                <c:pt idx="42">
                  <c:v>0.15683293204085041</c:v>
                </c:pt>
                <c:pt idx="43">
                  <c:v>0.16056704947039446</c:v>
                </c:pt>
                <c:pt idx="44">
                  <c:v>0.16430116689993851</c:v>
                </c:pt>
                <c:pt idx="45">
                  <c:v>0.16803528432948259</c:v>
                </c:pt>
                <c:pt idx="46">
                  <c:v>0.17176940175902664</c:v>
                </c:pt>
                <c:pt idx="47">
                  <c:v>0.17550351918857068</c:v>
                </c:pt>
                <c:pt idx="48">
                  <c:v>0.17923763661811476</c:v>
                </c:pt>
                <c:pt idx="49">
                  <c:v>0.18297175404765881</c:v>
                </c:pt>
                <c:pt idx="50">
                  <c:v>0.18670587147720286</c:v>
                </c:pt>
                <c:pt idx="51">
                  <c:v>0.19043998890674693</c:v>
                </c:pt>
                <c:pt idx="52">
                  <c:v>0.19417410633629098</c:v>
                </c:pt>
                <c:pt idx="53">
                  <c:v>0.19790822376583503</c:v>
                </c:pt>
                <c:pt idx="54">
                  <c:v>0.2016423411953791</c:v>
                </c:pt>
                <c:pt idx="55">
                  <c:v>0.20537645862492315</c:v>
                </c:pt>
                <c:pt idx="56">
                  <c:v>0.2091105760544672</c:v>
                </c:pt>
                <c:pt idx="57">
                  <c:v>0.21284469348401128</c:v>
                </c:pt>
                <c:pt idx="58">
                  <c:v>0.21657881091355533</c:v>
                </c:pt>
                <c:pt idx="59">
                  <c:v>0.22031292834309937</c:v>
                </c:pt>
                <c:pt idx="60">
                  <c:v>0.22404704577264345</c:v>
                </c:pt>
                <c:pt idx="61">
                  <c:v>0.2277811632021875</c:v>
                </c:pt>
                <c:pt idx="62">
                  <c:v>0.23151528063173157</c:v>
                </c:pt>
                <c:pt idx="63">
                  <c:v>0.23524939806127559</c:v>
                </c:pt>
                <c:pt idx="64">
                  <c:v>0.23898351549081967</c:v>
                </c:pt>
                <c:pt idx="65">
                  <c:v>0.24271763292036372</c:v>
                </c:pt>
                <c:pt idx="66">
                  <c:v>0.24645175034990779</c:v>
                </c:pt>
                <c:pt idx="67">
                  <c:v>0.2501858677794519</c:v>
                </c:pt>
                <c:pt idx="68">
                  <c:v>0.25391998520899584</c:v>
                </c:pt>
                <c:pt idx="69">
                  <c:v>0.25765410263853994</c:v>
                </c:pt>
                <c:pt idx="70">
                  <c:v>0.26138822006808399</c:v>
                </c:pt>
                <c:pt idx="71">
                  <c:v>0.26512233749762809</c:v>
                </c:pt>
                <c:pt idx="72">
                  <c:v>0.26885645492717219</c:v>
                </c:pt>
                <c:pt idx="73">
                  <c:v>0.27259057235671613</c:v>
                </c:pt>
                <c:pt idx="74">
                  <c:v>0.27632468978626024</c:v>
                </c:pt>
                <c:pt idx="75">
                  <c:v>0.28005880721580428</c:v>
                </c:pt>
                <c:pt idx="76">
                  <c:v>0.28379292464534833</c:v>
                </c:pt>
                <c:pt idx="77">
                  <c:v>0.28752704207489249</c:v>
                </c:pt>
                <c:pt idx="78">
                  <c:v>0.29126115950443643</c:v>
                </c:pt>
                <c:pt idx="79">
                  <c:v>0.29499527693398053</c:v>
                </c:pt>
                <c:pt idx="80">
                  <c:v>0.29872939436352458</c:v>
                </c:pt>
                <c:pt idx="81">
                  <c:v>0.30246351179306863</c:v>
                </c:pt>
                <c:pt idx="82">
                  <c:v>0.30619762922261268</c:v>
                </c:pt>
                <c:pt idx="83">
                  <c:v>0.30993174665215678</c:v>
                </c:pt>
                <c:pt idx="84">
                  <c:v>0.31366586408170083</c:v>
                </c:pt>
                <c:pt idx="85">
                  <c:v>0.31739998151124488</c:v>
                </c:pt>
                <c:pt idx="86">
                  <c:v>0.32113409894078893</c:v>
                </c:pt>
                <c:pt idx="87">
                  <c:v>0.32486821637033297</c:v>
                </c:pt>
                <c:pt idx="88">
                  <c:v>0.32860233379987702</c:v>
                </c:pt>
                <c:pt idx="89">
                  <c:v>0.33233645122942113</c:v>
                </c:pt>
                <c:pt idx="90">
                  <c:v>0.33607056865896517</c:v>
                </c:pt>
                <c:pt idx="91">
                  <c:v>0.33980468608850922</c:v>
                </c:pt>
                <c:pt idx="92">
                  <c:v>0.34353880351805327</c:v>
                </c:pt>
                <c:pt idx="93">
                  <c:v>0.34727292094759732</c:v>
                </c:pt>
                <c:pt idx="94">
                  <c:v>0.35100703837714137</c:v>
                </c:pt>
                <c:pt idx="95">
                  <c:v>0.35474115580668547</c:v>
                </c:pt>
                <c:pt idx="96">
                  <c:v>0.35847527323622952</c:v>
                </c:pt>
                <c:pt idx="97">
                  <c:v>0.36220939066577357</c:v>
                </c:pt>
                <c:pt idx="98">
                  <c:v>0.36594350809531762</c:v>
                </c:pt>
                <c:pt idx="99">
                  <c:v>0.36967762552486166</c:v>
                </c:pt>
                <c:pt idx="100">
                  <c:v>0.37341174295440571</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Calculations'!$AE$9:$AE$109</c:f>
              <c:numCache>
                <c:formatCode>0.000</c:formatCode>
                <c:ptCount val="101"/>
                <c:pt idx="0">
                  <c:v>0.60421033021216175</c:v>
                </c:pt>
                <c:pt idx="1">
                  <c:v>0.60510181153625486</c:v>
                </c:pt>
                <c:pt idx="2">
                  <c:v>0.60517817633236104</c:v>
                </c:pt>
                <c:pt idx="3">
                  <c:v>0.6044394244057737</c:v>
                </c:pt>
                <c:pt idx="4">
                  <c:v>0.6042329999999998</c:v>
                </c:pt>
                <c:pt idx="5">
                  <c:v>0.6042329999999998</c:v>
                </c:pt>
                <c:pt idx="6">
                  <c:v>0.6042329999999998</c:v>
                </c:pt>
                <c:pt idx="7">
                  <c:v>0.6042329999999998</c:v>
                </c:pt>
                <c:pt idx="8">
                  <c:v>0.6042329999999998</c:v>
                </c:pt>
                <c:pt idx="9">
                  <c:v>0.6042329999999998</c:v>
                </c:pt>
                <c:pt idx="10">
                  <c:v>0.6042329999999998</c:v>
                </c:pt>
                <c:pt idx="11">
                  <c:v>0.6042329999999998</c:v>
                </c:pt>
                <c:pt idx="12">
                  <c:v>0.6042329999999998</c:v>
                </c:pt>
                <c:pt idx="13">
                  <c:v>0.6042329999999998</c:v>
                </c:pt>
                <c:pt idx="14">
                  <c:v>0.6042329999999998</c:v>
                </c:pt>
                <c:pt idx="15">
                  <c:v>0.6042329999999998</c:v>
                </c:pt>
                <c:pt idx="16">
                  <c:v>0.6042329999999998</c:v>
                </c:pt>
                <c:pt idx="17">
                  <c:v>0.6042329999999998</c:v>
                </c:pt>
                <c:pt idx="18">
                  <c:v>0.6042329999999998</c:v>
                </c:pt>
                <c:pt idx="19">
                  <c:v>0.6042329999999998</c:v>
                </c:pt>
                <c:pt idx="20">
                  <c:v>0.6042329999999998</c:v>
                </c:pt>
                <c:pt idx="21">
                  <c:v>0.6042329999999998</c:v>
                </c:pt>
                <c:pt idx="22">
                  <c:v>0.6042329999999998</c:v>
                </c:pt>
                <c:pt idx="23">
                  <c:v>0.6042329999999998</c:v>
                </c:pt>
                <c:pt idx="24">
                  <c:v>0.6042329999999998</c:v>
                </c:pt>
                <c:pt idx="25">
                  <c:v>0.6042329999999998</c:v>
                </c:pt>
                <c:pt idx="26">
                  <c:v>0.6042329999999998</c:v>
                </c:pt>
                <c:pt idx="27">
                  <c:v>0.6042329999999998</c:v>
                </c:pt>
                <c:pt idx="28">
                  <c:v>0.6042329999999998</c:v>
                </c:pt>
                <c:pt idx="29">
                  <c:v>0.6042329999999998</c:v>
                </c:pt>
                <c:pt idx="30">
                  <c:v>0.6042329999999998</c:v>
                </c:pt>
                <c:pt idx="31">
                  <c:v>0.6042329999999998</c:v>
                </c:pt>
                <c:pt idx="32">
                  <c:v>0.6042329999999998</c:v>
                </c:pt>
                <c:pt idx="33">
                  <c:v>0.6042329999999998</c:v>
                </c:pt>
                <c:pt idx="34">
                  <c:v>0.6042329999999998</c:v>
                </c:pt>
                <c:pt idx="35">
                  <c:v>0.6042329999999998</c:v>
                </c:pt>
                <c:pt idx="36">
                  <c:v>0.6042329999999998</c:v>
                </c:pt>
                <c:pt idx="37">
                  <c:v>0.6042329999999998</c:v>
                </c:pt>
                <c:pt idx="38">
                  <c:v>0.6042329999999998</c:v>
                </c:pt>
                <c:pt idx="39">
                  <c:v>0.6042329999999998</c:v>
                </c:pt>
                <c:pt idx="40">
                  <c:v>0.6042329999999998</c:v>
                </c:pt>
                <c:pt idx="41">
                  <c:v>0.6042329999999998</c:v>
                </c:pt>
                <c:pt idx="42">
                  <c:v>0.6042329999999998</c:v>
                </c:pt>
                <c:pt idx="43">
                  <c:v>0.6042329999999998</c:v>
                </c:pt>
                <c:pt idx="44">
                  <c:v>0.6042329999999998</c:v>
                </c:pt>
                <c:pt idx="45">
                  <c:v>0.6042329999999998</c:v>
                </c:pt>
                <c:pt idx="46">
                  <c:v>0.6042329999999998</c:v>
                </c:pt>
                <c:pt idx="47">
                  <c:v>0.6042329999999998</c:v>
                </c:pt>
                <c:pt idx="48">
                  <c:v>0.6042329999999998</c:v>
                </c:pt>
                <c:pt idx="49">
                  <c:v>0.6042329999999998</c:v>
                </c:pt>
                <c:pt idx="50">
                  <c:v>0.6042329999999998</c:v>
                </c:pt>
                <c:pt idx="51">
                  <c:v>0.6042329999999998</c:v>
                </c:pt>
                <c:pt idx="52">
                  <c:v>0.6042329999999998</c:v>
                </c:pt>
                <c:pt idx="53">
                  <c:v>0.6042329999999998</c:v>
                </c:pt>
                <c:pt idx="54">
                  <c:v>0.6042329999999998</c:v>
                </c:pt>
                <c:pt idx="55">
                  <c:v>0.6042329999999998</c:v>
                </c:pt>
                <c:pt idx="56">
                  <c:v>0.6042329999999998</c:v>
                </c:pt>
                <c:pt idx="57">
                  <c:v>0.6042329999999998</c:v>
                </c:pt>
                <c:pt idx="58">
                  <c:v>0.6042329999999998</c:v>
                </c:pt>
                <c:pt idx="59">
                  <c:v>0.6042329999999998</c:v>
                </c:pt>
                <c:pt idx="60">
                  <c:v>0.6042329999999998</c:v>
                </c:pt>
                <c:pt idx="61">
                  <c:v>0.6042329999999998</c:v>
                </c:pt>
                <c:pt idx="62">
                  <c:v>0.6042329999999998</c:v>
                </c:pt>
                <c:pt idx="63">
                  <c:v>0.6042329999999998</c:v>
                </c:pt>
                <c:pt idx="64">
                  <c:v>0.6042329999999998</c:v>
                </c:pt>
                <c:pt idx="65">
                  <c:v>0.6042329999999998</c:v>
                </c:pt>
                <c:pt idx="66">
                  <c:v>0.6042329999999998</c:v>
                </c:pt>
                <c:pt idx="67">
                  <c:v>0.6042329999999998</c:v>
                </c:pt>
                <c:pt idx="68">
                  <c:v>0.6042329999999998</c:v>
                </c:pt>
                <c:pt idx="69">
                  <c:v>0.6042329999999998</c:v>
                </c:pt>
                <c:pt idx="70">
                  <c:v>0.6042329999999998</c:v>
                </c:pt>
                <c:pt idx="71">
                  <c:v>0.6042329999999998</c:v>
                </c:pt>
                <c:pt idx="72">
                  <c:v>0.6042329999999998</c:v>
                </c:pt>
                <c:pt idx="73">
                  <c:v>0.6042329999999998</c:v>
                </c:pt>
                <c:pt idx="74">
                  <c:v>0.6042329999999998</c:v>
                </c:pt>
                <c:pt idx="75">
                  <c:v>0.6042329999999998</c:v>
                </c:pt>
                <c:pt idx="76">
                  <c:v>0.6042329999999998</c:v>
                </c:pt>
                <c:pt idx="77">
                  <c:v>0.6042329999999998</c:v>
                </c:pt>
                <c:pt idx="78">
                  <c:v>0.6042329999999998</c:v>
                </c:pt>
                <c:pt idx="79">
                  <c:v>0.6042329999999998</c:v>
                </c:pt>
                <c:pt idx="80">
                  <c:v>0.6042329999999998</c:v>
                </c:pt>
                <c:pt idx="81">
                  <c:v>0.6042329999999998</c:v>
                </c:pt>
                <c:pt idx="82">
                  <c:v>0.6042329999999998</c:v>
                </c:pt>
                <c:pt idx="83">
                  <c:v>0.6042329999999998</c:v>
                </c:pt>
                <c:pt idx="84">
                  <c:v>0.6042329999999998</c:v>
                </c:pt>
                <c:pt idx="85">
                  <c:v>0.6042329999999998</c:v>
                </c:pt>
                <c:pt idx="86">
                  <c:v>0.6042329999999998</c:v>
                </c:pt>
                <c:pt idx="87">
                  <c:v>0.6042329999999998</c:v>
                </c:pt>
                <c:pt idx="88">
                  <c:v>0.6042329999999998</c:v>
                </c:pt>
                <c:pt idx="89">
                  <c:v>0.6042329999999998</c:v>
                </c:pt>
                <c:pt idx="90">
                  <c:v>0.6042329999999998</c:v>
                </c:pt>
                <c:pt idx="91">
                  <c:v>0.6042329999999998</c:v>
                </c:pt>
                <c:pt idx="92">
                  <c:v>0.6042329999999998</c:v>
                </c:pt>
                <c:pt idx="93">
                  <c:v>0.6042329999999998</c:v>
                </c:pt>
                <c:pt idx="94">
                  <c:v>0.6042329999999998</c:v>
                </c:pt>
                <c:pt idx="95">
                  <c:v>0.6042329999999998</c:v>
                </c:pt>
                <c:pt idx="96">
                  <c:v>0.6042329999999998</c:v>
                </c:pt>
                <c:pt idx="97">
                  <c:v>0.6042329999999998</c:v>
                </c:pt>
                <c:pt idx="98">
                  <c:v>0.6042329999999998</c:v>
                </c:pt>
                <c:pt idx="99">
                  <c:v>0.6042329999999998</c:v>
                </c:pt>
                <c:pt idx="100">
                  <c:v>0.6042329999999998</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Calculations'!$AM$9:$AM$109</c:f>
              <c:numCache>
                <c:formatCode>0.000</c:formatCode>
                <c:ptCount val="101"/>
                <c:pt idx="0">
                  <c:v>0</c:v>
                </c:pt>
                <c:pt idx="1">
                  <c:v>2.5199999999999997E-2</c:v>
                </c:pt>
                <c:pt idx="2">
                  <c:v>5.0399999999999993E-2</c:v>
                </c:pt>
                <c:pt idx="3">
                  <c:v>7.5600000000000001E-2</c:v>
                </c:pt>
                <c:pt idx="4">
                  <c:v>0.10079999999999999</c:v>
                </c:pt>
                <c:pt idx="5">
                  <c:v>0.12599999999999997</c:v>
                </c:pt>
                <c:pt idx="6">
                  <c:v>0.1512</c:v>
                </c:pt>
                <c:pt idx="7">
                  <c:v>0.1764</c:v>
                </c:pt>
                <c:pt idx="8">
                  <c:v>0.20159999999999997</c:v>
                </c:pt>
                <c:pt idx="9">
                  <c:v>0.22679999999999997</c:v>
                </c:pt>
                <c:pt idx="10">
                  <c:v>0.25199999999999995</c:v>
                </c:pt>
                <c:pt idx="11">
                  <c:v>0.2772</c:v>
                </c:pt>
                <c:pt idx="12">
                  <c:v>0.3024</c:v>
                </c:pt>
                <c:pt idx="13">
                  <c:v>0.3276</c:v>
                </c:pt>
                <c:pt idx="14">
                  <c:v>0.3528</c:v>
                </c:pt>
                <c:pt idx="15">
                  <c:v>0.37799999999999989</c:v>
                </c:pt>
                <c:pt idx="16">
                  <c:v>0.40319999999999995</c:v>
                </c:pt>
                <c:pt idx="17">
                  <c:v>0.42839999999999995</c:v>
                </c:pt>
                <c:pt idx="18">
                  <c:v>0.45359999999999995</c:v>
                </c:pt>
                <c:pt idx="19">
                  <c:v>0.47879999999999995</c:v>
                </c:pt>
                <c:pt idx="20">
                  <c:v>0.50399999999999989</c:v>
                </c:pt>
                <c:pt idx="21">
                  <c:v>0.52919999999999989</c:v>
                </c:pt>
                <c:pt idx="22">
                  <c:v>0.5544</c:v>
                </c:pt>
                <c:pt idx="23">
                  <c:v>0.57959999999999989</c:v>
                </c:pt>
                <c:pt idx="24">
                  <c:v>0.6048</c:v>
                </c:pt>
                <c:pt idx="25">
                  <c:v>0.63</c:v>
                </c:pt>
                <c:pt idx="26">
                  <c:v>0.6552</c:v>
                </c:pt>
                <c:pt idx="27">
                  <c:v>0.6804</c:v>
                </c:pt>
                <c:pt idx="28">
                  <c:v>0.7056</c:v>
                </c:pt>
                <c:pt idx="29">
                  <c:v>0.73079999999999978</c:v>
                </c:pt>
                <c:pt idx="30">
                  <c:v>0.75599999999999978</c:v>
                </c:pt>
                <c:pt idx="31">
                  <c:v>0.78120000000000012</c:v>
                </c:pt>
                <c:pt idx="32">
                  <c:v>0.80639999999999989</c:v>
                </c:pt>
                <c:pt idx="33">
                  <c:v>0.83159999999999989</c:v>
                </c:pt>
                <c:pt idx="34">
                  <c:v>0.8567999999999999</c:v>
                </c:pt>
                <c:pt idx="35">
                  <c:v>0.8819999999999999</c:v>
                </c:pt>
                <c:pt idx="36">
                  <c:v>0.9071999999999999</c:v>
                </c:pt>
                <c:pt idx="37">
                  <c:v>0.93240000000000001</c:v>
                </c:pt>
                <c:pt idx="38">
                  <c:v>0.9575999999999999</c:v>
                </c:pt>
                <c:pt idx="39">
                  <c:v>0.9827999999999999</c:v>
                </c:pt>
                <c:pt idx="40">
                  <c:v>1.0079999999999998</c:v>
                </c:pt>
                <c:pt idx="41">
                  <c:v>1.0331999999999999</c:v>
                </c:pt>
                <c:pt idx="42">
                  <c:v>1.0583999999999998</c:v>
                </c:pt>
                <c:pt idx="43">
                  <c:v>1.0835999999999999</c:v>
                </c:pt>
                <c:pt idx="44">
                  <c:v>1.1088</c:v>
                </c:pt>
                <c:pt idx="45">
                  <c:v>1.1339999999999999</c:v>
                </c:pt>
                <c:pt idx="46">
                  <c:v>1.1591999999999998</c:v>
                </c:pt>
                <c:pt idx="47">
                  <c:v>1.1843999999999999</c:v>
                </c:pt>
                <c:pt idx="48">
                  <c:v>1.2096</c:v>
                </c:pt>
                <c:pt idx="49">
                  <c:v>1.2348000000000001</c:v>
                </c:pt>
                <c:pt idx="50">
                  <c:v>1.26</c:v>
                </c:pt>
                <c:pt idx="51">
                  <c:v>1.2851999999999999</c:v>
                </c:pt>
                <c:pt idx="52">
                  <c:v>1.3104</c:v>
                </c:pt>
                <c:pt idx="53">
                  <c:v>1.3355999999999999</c:v>
                </c:pt>
                <c:pt idx="54">
                  <c:v>1.3608</c:v>
                </c:pt>
                <c:pt idx="55">
                  <c:v>1.3859999999999997</c:v>
                </c:pt>
                <c:pt idx="56">
                  <c:v>1.4112</c:v>
                </c:pt>
                <c:pt idx="57">
                  <c:v>1.4363999999999997</c:v>
                </c:pt>
                <c:pt idx="58">
                  <c:v>1.4615999999999996</c:v>
                </c:pt>
                <c:pt idx="59">
                  <c:v>1.4868000000000001</c:v>
                </c:pt>
                <c:pt idx="60">
                  <c:v>1.5119999999999996</c:v>
                </c:pt>
                <c:pt idx="61">
                  <c:v>1.5371999999999997</c:v>
                </c:pt>
                <c:pt idx="62">
                  <c:v>1.5624000000000002</c:v>
                </c:pt>
                <c:pt idx="63">
                  <c:v>1.5875999999999997</c:v>
                </c:pt>
                <c:pt idx="64">
                  <c:v>1.6127999999999998</c:v>
                </c:pt>
                <c:pt idx="65">
                  <c:v>1.6379999999999999</c:v>
                </c:pt>
                <c:pt idx="66">
                  <c:v>1.6631999999999998</c:v>
                </c:pt>
                <c:pt idx="67">
                  <c:v>1.6883999999999997</c:v>
                </c:pt>
                <c:pt idx="68">
                  <c:v>1.7135999999999998</c:v>
                </c:pt>
                <c:pt idx="69">
                  <c:v>1.7387999999999999</c:v>
                </c:pt>
                <c:pt idx="70">
                  <c:v>1.7639999999999998</c:v>
                </c:pt>
                <c:pt idx="71">
                  <c:v>1.7891999999999997</c:v>
                </c:pt>
                <c:pt idx="72">
                  <c:v>1.8143999999999998</c:v>
                </c:pt>
                <c:pt idx="73">
                  <c:v>1.8395999999999997</c:v>
                </c:pt>
                <c:pt idx="74">
                  <c:v>1.8648</c:v>
                </c:pt>
                <c:pt idx="75">
                  <c:v>1.89</c:v>
                </c:pt>
                <c:pt idx="76">
                  <c:v>1.9151999999999998</c:v>
                </c:pt>
                <c:pt idx="77">
                  <c:v>1.9403999999999999</c:v>
                </c:pt>
                <c:pt idx="78">
                  <c:v>1.9655999999999998</c:v>
                </c:pt>
                <c:pt idx="79">
                  <c:v>1.9907999999999999</c:v>
                </c:pt>
                <c:pt idx="80">
                  <c:v>2.0159999999999996</c:v>
                </c:pt>
                <c:pt idx="81">
                  <c:v>2.0411999999999999</c:v>
                </c:pt>
                <c:pt idx="82">
                  <c:v>2.0663999999999998</c:v>
                </c:pt>
                <c:pt idx="83">
                  <c:v>2.0916000000000001</c:v>
                </c:pt>
                <c:pt idx="84">
                  <c:v>2.1167999999999996</c:v>
                </c:pt>
                <c:pt idx="85">
                  <c:v>2.1419999999999999</c:v>
                </c:pt>
                <c:pt idx="86">
                  <c:v>2.1671999999999998</c:v>
                </c:pt>
                <c:pt idx="87">
                  <c:v>2.1923999999999997</c:v>
                </c:pt>
                <c:pt idx="88">
                  <c:v>2.2176</c:v>
                </c:pt>
                <c:pt idx="89">
                  <c:v>2.2427999999999999</c:v>
                </c:pt>
                <c:pt idx="90">
                  <c:v>2.2679999999999998</c:v>
                </c:pt>
                <c:pt idx="91">
                  <c:v>2.2931999999999997</c:v>
                </c:pt>
                <c:pt idx="92">
                  <c:v>2.3183999999999996</c:v>
                </c:pt>
                <c:pt idx="93">
                  <c:v>2.3435999999999999</c:v>
                </c:pt>
                <c:pt idx="94">
                  <c:v>2.3687999999999998</c:v>
                </c:pt>
                <c:pt idx="95">
                  <c:v>2.3939999999999997</c:v>
                </c:pt>
                <c:pt idx="96">
                  <c:v>2.4192</c:v>
                </c:pt>
                <c:pt idx="97">
                  <c:v>2.4443999999999999</c:v>
                </c:pt>
                <c:pt idx="98">
                  <c:v>2.4696000000000002</c:v>
                </c:pt>
                <c:pt idx="99">
                  <c:v>2.4947999999999997</c:v>
                </c:pt>
                <c:pt idx="100">
                  <c:v>2.52</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Calculations'!$AV$9:$AV$109</c:f>
              <c:numCache>
                <c:formatCode>0.0%</c:formatCode>
                <c:ptCount val="101"/>
                <c:pt idx="0">
                  <c:v>0</c:v>
                </c:pt>
                <c:pt idx="1">
                  <c:v>0.439922670095447</c:v>
                </c:pt>
                <c:pt idx="2">
                  <c:v>0.60528945273468615</c:v>
                </c:pt>
                <c:pt idx="3">
                  <c:v>0.69211495037880144</c:v>
                </c:pt>
                <c:pt idx="4">
                  <c:v>0.74527985699113342</c:v>
                </c:pt>
                <c:pt idx="5">
                  <c:v>0.78121386173821405</c:v>
                </c:pt>
                <c:pt idx="6">
                  <c:v>0.80715088210100505</c:v>
                </c:pt>
                <c:pt idx="7">
                  <c:v>0.82675018648691967</c:v>
                </c:pt>
                <c:pt idx="8">
                  <c:v>0.84207934257851402</c:v>
                </c:pt>
                <c:pt idx="9">
                  <c:v>0.8543947787456001</c:v>
                </c:pt>
                <c:pt idx="10">
                  <c:v>0.86450403335017989</c:v>
                </c:pt>
                <c:pt idx="11">
                  <c:v>0.87294978834260983</c:v>
                </c:pt>
                <c:pt idx="12">
                  <c:v>0.88011022504972503</c:v>
                </c:pt>
                <c:pt idx="13">
                  <c:v>0.88625696377586105</c:v>
                </c:pt>
                <c:pt idx="14">
                  <c:v>0.89159012629458079</c:v>
                </c:pt>
                <c:pt idx="15">
                  <c:v>0.89626040892181047</c:v>
                </c:pt>
                <c:pt idx="16">
                  <c:v>0.90038345383095442</c:v>
                </c:pt>
                <c:pt idx="17">
                  <c:v>0.90404948149676767</c:v>
                </c:pt>
                <c:pt idx="18">
                  <c:v>0.9073299123530657</c:v>
                </c:pt>
                <c:pt idx="19">
                  <c:v>0.91028202121931445</c:v>
                </c:pt>
                <c:pt idx="20">
                  <c:v>0.91295227418007197</c:v>
                </c:pt>
                <c:pt idx="21">
                  <c:v>0.91537876343735525</c:v>
                </c:pt>
                <c:pt idx="22">
                  <c:v>0.91759301234772062</c:v>
                </c:pt>
                <c:pt idx="23">
                  <c:v>0.91962133285311631</c:v>
                </c:pt>
                <c:pt idx="24">
                  <c:v>0.92148585966094965</c:v>
                </c:pt>
                <c:pt idx="25">
                  <c:v>0.92320534755168926</c:v>
                </c:pt>
                <c:pt idx="26">
                  <c:v>0.92479579278308799</c:v>
                </c:pt>
                <c:pt idx="27">
                  <c:v>0.92627092226137575</c:v>
                </c:pt>
                <c:pt idx="28">
                  <c:v>0.92764258218360585</c:v>
                </c:pt>
                <c:pt idx="29">
                  <c:v>0.92892104945572851</c:v>
                </c:pt>
                <c:pt idx="30">
                  <c:v>0.93011528321464476</c:v>
                </c:pt>
                <c:pt idx="31">
                  <c:v>0.9312331294767825</c:v>
                </c:pt>
                <c:pt idx="32">
                  <c:v>0.93228148879738582</c:v>
                </c:pt>
                <c:pt idx="33">
                  <c:v>0.93326645451234158</c:v>
                </c:pt>
                <c:pt idx="34">
                  <c:v>0.93419342741328804</c:v>
                </c:pt>
                <c:pt idx="35">
                  <c:v>0.93506721141363169</c:v>
                </c:pt>
                <c:pt idx="36">
                  <c:v>0.93589209378284122</c:v>
                </c:pt>
                <c:pt idx="37">
                  <c:v>0.93667191277713557</c:v>
                </c:pt>
                <c:pt idx="38">
                  <c:v>0.93741011491743964</c:v>
                </c:pt>
                <c:pt idx="39">
                  <c:v>0.93810980371751151</c:v>
                </c:pt>
                <c:pt idx="40">
                  <c:v>0.93877378131502642</c:v>
                </c:pt>
                <c:pt idx="41">
                  <c:v>0.93940458418296724</c:v>
                </c:pt>
                <c:pt idx="42">
                  <c:v>0.94000451388062267</c:v>
                </c:pt>
                <c:pt idx="43">
                  <c:v>0.94057566362984923</c:v>
                </c:pt>
                <c:pt idx="44">
                  <c:v>0.94111994136318566</c:v>
                </c:pt>
                <c:pt idx="45">
                  <c:v>0.94163908977843591</c:v>
                </c:pt>
                <c:pt idx="46">
                  <c:v>0.94213470384371489</c:v>
                </c:pt>
                <c:pt idx="47">
                  <c:v>0.94260824612325356</c:v>
                </c:pt>
                <c:pt idx="48">
                  <c:v>0.94306106023404423</c:v>
                </c:pt>
                <c:pt idx="49">
                  <c:v>0.94349438269398733</c:v>
                </c:pt>
                <c:pt idx="50">
                  <c:v>0.94390935338146742</c:v>
                </c:pt>
                <c:pt idx="51">
                  <c:v>0.94430702479258422</c:v>
                </c:pt>
                <c:pt idx="52">
                  <c:v>0.94468837025424857</c:v>
                </c:pt>
                <c:pt idx="53">
                  <c:v>0.94505429122801099</c:v>
                </c:pt>
                <c:pt idx="54">
                  <c:v>0.94540562381993076</c:v>
                </c:pt>
                <c:pt idx="55">
                  <c:v>0.94574314459539066</c:v>
                </c:pt>
                <c:pt idx="56">
                  <c:v>0.94606757578391731</c:v>
                </c:pt>
                <c:pt idx="57">
                  <c:v>0.94637958994738369</c:v>
                </c:pt>
                <c:pt idx="58">
                  <c:v>0.94667981417504676</c:v>
                </c:pt>
                <c:pt idx="59">
                  <c:v>0.94696883386044328</c:v>
                </c:pt>
                <c:pt idx="60">
                  <c:v>0.94724719610797592</c:v>
                </c:pt>
                <c:pt idx="61">
                  <c:v>0.94751541281086449</c:v>
                </c:pt>
                <c:pt idx="62">
                  <c:v>0.94777396343686637</c:v>
                </c:pt>
                <c:pt idx="63">
                  <c:v>0.94802329755362846</c:v>
                </c:pt>
                <c:pt idx="64">
                  <c:v>0.94826383712163065</c:v>
                </c:pt>
                <c:pt idx="65">
                  <c:v>0.94849597857929058</c:v>
                </c:pt>
                <c:pt idx="66">
                  <c:v>0.94872009474188812</c:v>
                </c:pt>
                <c:pt idx="67">
                  <c:v>0.94893653653341536</c:v>
                </c:pt>
                <c:pt idx="68">
                  <c:v>0.94914563456825451</c:v>
                </c:pt>
                <c:pt idx="69">
                  <c:v>0.94934770059765994</c:v>
                </c:pt>
                <c:pt idx="70">
                  <c:v>0.94954302883433661</c:v>
                </c:pt>
                <c:pt idx="71">
                  <c:v>0.94973189716693451</c:v>
                </c:pt>
                <c:pt idx="72">
                  <c:v>0.94991456827498533</c:v>
                </c:pt>
                <c:pt idx="73">
                  <c:v>0.95009129065367659</c:v>
                </c:pt>
                <c:pt idx="74">
                  <c:v>0.95026229955685459</c:v>
                </c:pt>
                <c:pt idx="75">
                  <c:v>0.95042781786576891</c:v>
                </c:pt>
                <c:pt idx="76">
                  <c:v>0.95058805689029302</c:v>
                </c:pt>
                <c:pt idx="77">
                  <c:v>0.95074321710866272</c:v>
                </c:pt>
                <c:pt idx="78">
                  <c:v>0.95089348885117142</c:v>
                </c:pt>
                <c:pt idx="79">
                  <c:v>0.95103905293270852</c:v>
                </c:pt>
                <c:pt idx="80">
                  <c:v>0.95118008123855657</c:v>
                </c:pt>
                <c:pt idx="81">
                  <c:v>0.9513167372674235</c:v>
                </c:pt>
                <c:pt idx="82">
                  <c:v>0.9514491766353097</c:v>
                </c:pt>
                <c:pt idx="83">
                  <c:v>0.95157754754346746</c:v>
                </c:pt>
                <c:pt idx="84">
                  <c:v>0.95170199121340093</c:v>
                </c:pt>
                <c:pt idx="85">
                  <c:v>0.95182264229158353</c:v>
                </c:pt>
                <c:pt idx="86">
                  <c:v>0.95193962922632558</c:v>
                </c:pt>
                <c:pt idx="87">
                  <c:v>0.95205307461899991</c:v>
                </c:pt>
                <c:pt idx="88">
                  <c:v>0.95216309555164069</c:v>
                </c:pt>
                <c:pt idx="89">
                  <c:v>0.95226980389274607</c:v>
                </c:pt>
                <c:pt idx="90">
                  <c:v>0.9523733065829606</c:v>
                </c:pt>
                <c:pt idx="91">
                  <c:v>0.95247370590216196</c:v>
                </c:pt>
                <c:pt idx="92">
                  <c:v>0.95257109971935228</c:v>
                </c:pt>
                <c:pt idx="93">
                  <c:v>0.95266558172662752</c:v>
                </c:pt>
                <c:pt idx="94">
                  <c:v>0.95275724165840059</c:v>
                </c:pt>
                <c:pt idx="95">
                  <c:v>0.95284616549694723</c:v>
                </c:pt>
                <c:pt idx="96">
                  <c:v>0.95293243566526042</c:v>
                </c:pt>
                <c:pt idx="97">
                  <c:v>0.95301613120812156</c:v>
                </c:pt>
                <c:pt idx="98">
                  <c:v>0.95309732796221325</c:v>
                </c:pt>
                <c:pt idx="99">
                  <c:v>0.95317609871604669</c:v>
                </c:pt>
                <c:pt idx="100">
                  <c:v>0.95325251336040184</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Calculations'!$BC$9:$BC$109</c:f>
              <c:numCache>
                <c:formatCode>0.000</c:formatCode>
                <c:ptCount val="101"/>
                <c:pt idx="0">
                  <c:v>0.60737526200749936</c:v>
                </c:pt>
                <c:pt idx="1">
                  <c:v>0.62766740039415214</c:v>
                </c:pt>
                <c:pt idx="2">
                  <c:v>0.64717651297981915</c:v>
                </c:pt>
                <c:pt idx="3">
                  <c:v>0.66590263119386295</c:v>
                </c:pt>
                <c:pt idx="4">
                  <c:v>0.6860081234818417</c:v>
                </c:pt>
                <c:pt idx="5">
                  <c:v>0.70651903073369959</c:v>
                </c:pt>
                <c:pt idx="6">
                  <c:v>0.72706230882780476</c:v>
                </c:pt>
                <c:pt idx="7">
                  <c:v>0.74763803032167986</c:v>
                </c:pt>
                <c:pt idx="8">
                  <c:v>0.76824626890260073</c:v>
                </c:pt>
                <c:pt idx="9">
                  <c:v>0.78888709939215862</c:v>
                </c:pt>
                <c:pt idx="10">
                  <c:v>0.80956059775092282</c:v>
                </c:pt>
                <c:pt idx="11">
                  <c:v>0.83026684108320226</c:v>
                </c:pt>
                <c:pt idx="12">
                  <c:v>0.85100590764190853</c:v>
                </c:pt>
                <c:pt idx="13">
                  <c:v>0.87177787683351737</c:v>
                </c:pt>
                <c:pt idx="14">
                  <c:v>0.89258282922313481</c:v>
                </c:pt>
                <c:pt idx="15">
                  <c:v>0.9134208465396626</c:v>
                </c:pt>
                <c:pt idx="16">
                  <c:v>0.93429201168106935</c:v>
                </c:pt>
                <c:pt idx="17">
                  <c:v>0.95519640871976297</c:v>
                </c:pt>
                <c:pt idx="18">
                  <c:v>0.97613412290806867</c:v>
                </c:pt>
                <c:pt idx="19">
                  <c:v>0.99710524068381168</c:v>
                </c:pt>
                <c:pt idx="20">
                  <c:v>1.0181098496760064</c:v>
                </c:pt>
                <c:pt idx="21">
                  <c:v>1.0391480387106515</c:v>
                </c:pt>
                <c:pt idx="22">
                  <c:v>1.0602198978166326</c:v>
                </c:pt>
                <c:pt idx="23">
                  <c:v>1.081325518231733</c:v>
                </c:pt>
                <c:pt idx="24">
                  <c:v>1.1024649924087548</c:v>
                </c:pt>
                <c:pt idx="25">
                  <c:v>1.1236384140217477</c:v>
                </c:pt>
                <c:pt idx="26">
                  <c:v>1.1448458779723505</c:v>
                </c:pt>
                <c:pt idx="27">
                  <c:v>1.1660874803962435</c:v>
                </c:pt>
                <c:pt idx="28">
                  <c:v>1.1873633186697137</c:v>
                </c:pt>
                <c:pt idx="29">
                  <c:v>1.2086734914163322</c:v>
                </c:pt>
                <c:pt idx="30">
                  <c:v>1.2300180985137499</c:v>
                </c:pt>
                <c:pt idx="31">
                  <c:v>1.2513972411006025</c:v>
                </c:pt>
                <c:pt idx="32">
                  <c:v>1.2728110215835375</c:v>
                </c:pt>
                <c:pt idx="33">
                  <c:v>1.2942595436443569</c:v>
                </c:pt>
                <c:pt idx="34">
                  <c:v>1.3157429122472761</c:v>
                </c:pt>
                <c:pt idx="35">
                  <c:v>1.3372612336463048</c:v>
                </c:pt>
                <c:pt idx="36">
                  <c:v>1.3588146153927485</c:v>
                </c:pt>
                <c:pt idx="37">
                  <c:v>1.3804031663428298</c:v>
                </c:pt>
                <c:pt idx="38">
                  <c:v>1.4020269966654333</c:v>
                </c:pt>
                <c:pt idx="39">
                  <c:v>1.4236862178499761</c:v>
                </c:pt>
                <c:pt idx="40">
                  <c:v>1.4453809427143995</c:v>
                </c:pt>
                <c:pt idx="41">
                  <c:v>1.4671112854132917</c:v>
                </c:pt>
                <c:pt idx="42">
                  <c:v>1.4888773614461324</c:v>
                </c:pt>
                <c:pt idx="43">
                  <c:v>1.5106792876656718</c:v>
                </c:pt>
                <c:pt idx="44">
                  <c:v>1.5325171822864347</c:v>
                </c:pt>
                <c:pt idx="45">
                  <c:v>1.5543911648933584</c:v>
                </c:pt>
                <c:pt idx="46">
                  <c:v>1.5763013564505628</c:v>
                </c:pt>
                <c:pt idx="47">
                  <c:v>1.5982478793102524</c:v>
                </c:pt>
                <c:pt idx="48">
                  <c:v>1.6202308572217559</c:v>
                </c:pt>
                <c:pt idx="49">
                  <c:v>1.6422504153406998</c:v>
                </c:pt>
                <c:pt idx="50">
                  <c:v>1.6643066802383233</c:v>
                </c:pt>
                <c:pt idx="51">
                  <c:v>1.6863997799109272</c:v>
                </c:pt>
                <c:pt idx="52">
                  <c:v>1.7085298437894685</c:v>
                </c:pt>
                <c:pt idx="53">
                  <c:v>1.7306970027492952</c:v>
                </c:pt>
                <c:pt idx="54">
                  <c:v>1.7529013891200236</c:v>
                </c:pt>
                <c:pt idx="55">
                  <c:v>1.7751431366955623</c:v>
                </c:pt>
                <c:pt idx="56">
                  <c:v>1.7974223807442837</c:v>
                </c:pt>
                <c:pt idx="57">
                  <c:v>1.8197392580193399</c:v>
                </c:pt>
                <c:pt idx="58">
                  <c:v>1.8420939067691342</c:v>
                </c:pt>
                <c:pt idx="59">
                  <c:v>1.8644864667479402</c:v>
                </c:pt>
                <c:pt idx="60">
                  <c:v>1.8869170792266714</c:v>
                </c:pt>
                <c:pt idx="61">
                  <c:v>1.909385887003817</c:v>
                </c:pt>
                <c:pt idx="62">
                  <c:v>1.9318930344165191</c:v>
                </c:pt>
                <c:pt idx="63">
                  <c:v>1.9544386673518193</c:v>
                </c:pt>
                <c:pt idx="64">
                  <c:v>1.9770229332580622</c:v>
                </c:pt>
                <c:pt idx="65">
                  <c:v>1.9996459811564602</c:v>
                </c:pt>
                <c:pt idx="66">
                  <c:v>2.0223079616528206</c:v>
                </c:pt>
                <c:pt idx="67">
                  <c:v>2.045009026949443</c:v>
                </c:pt>
                <c:pt idx="68">
                  <c:v>2.0677493308571813</c:v>
                </c:pt>
                <c:pt idx="69">
                  <c:v>2.0905290288076732</c:v>
                </c:pt>
                <c:pt idx="70">
                  <c:v>2.1133482778657466</c:v>
                </c:pt>
                <c:pt idx="71">
                  <c:v>2.1362072367419942</c:v>
                </c:pt>
                <c:pt idx="72">
                  <c:v>2.1591060658055272</c:v>
                </c:pt>
                <c:pt idx="73">
                  <c:v>2.1820449270969053</c:v>
                </c:pt>
                <c:pt idx="74">
                  <c:v>2.2050239843412474</c:v>
                </c:pt>
                <c:pt idx="75">
                  <c:v>2.2280434029615215</c:v>
                </c:pt>
                <c:pt idx="76">
                  <c:v>2.2511033500920212</c:v>
                </c:pt>
                <c:pt idx="77">
                  <c:v>2.2742039945920327</c:v>
                </c:pt>
                <c:pt idx="78">
                  <c:v>2.2973455070596787</c:v>
                </c:pt>
                <c:pt idx="79">
                  <c:v>2.320528059845965</c:v>
                </c:pt>
                <c:pt idx="80">
                  <c:v>2.3437518270690143</c:v>
                </c:pt>
                <c:pt idx="81">
                  <c:v>2.367016984628501</c:v>
                </c:pt>
                <c:pt idx="82">
                  <c:v>2.3903237102202723</c:v>
                </c:pt>
                <c:pt idx="83">
                  <c:v>2.4136721833511876</c:v>
                </c:pt>
                <c:pt idx="84">
                  <c:v>2.4370625853541421</c:v>
                </c:pt>
                <c:pt idx="85">
                  <c:v>2.4604950994033157</c:v>
                </c:pt>
                <c:pt idx="86">
                  <c:v>2.4839699105296087</c:v>
                </c:pt>
                <c:pt idx="87">
                  <c:v>2.5074872056363091</c:v>
                </c:pt>
                <c:pt idx="88">
                  <c:v>2.5310471735149598</c:v>
                </c:pt>
                <c:pt idx="89">
                  <c:v>2.5546500048614451</c:v>
                </c:pt>
                <c:pt idx="90">
                  <c:v>2.5782958922922998</c:v>
                </c:pt>
                <c:pt idx="91">
                  <c:v>2.6019850303612397</c:v>
                </c:pt>
                <c:pt idx="92">
                  <c:v>2.6257176155759119</c:v>
                </c:pt>
                <c:pt idx="93">
                  <c:v>2.6494938464148792</c:v>
                </c:pt>
                <c:pt idx="94">
                  <c:v>2.6733139233448293</c:v>
                </c:pt>
                <c:pt idx="95">
                  <c:v>2.6971780488380261</c:v>
                </c:pt>
                <c:pt idx="96">
                  <c:v>2.721086427389988</c:v>
                </c:pt>
                <c:pt idx="97">
                  <c:v>2.7450392655374136</c:v>
                </c:pt>
                <c:pt idx="98">
                  <c:v>2.7690367718763489</c:v>
                </c:pt>
                <c:pt idx="99">
                  <c:v>2.7930791570805971</c:v>
                </c:pt>
                <c:pt idx="100">
                  <c:v>2.8171666339203854</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Calculations'!$BD$9:$BD$109</c:f>
              <c:numCache>
                <c:formatCode>0.000</c:formatCode>
                <c:ptCount val="101"/>
                <c:pt idx="0">
                  <c:v>3.1121113960984651E-3</c:v>
                </c:pt>
                <c:pt idx="1">
                  <c:v>1.2406930117017712E-2</c:v>
                </c:pt>
                <c:pt idx="2">
                  <c:v>2.1702343650541304E-2</c:v>
                </c:pt>
                <c:pt idx="3">
                  <c:v>3.0998351366552206E-2</c:v>
                </c:pt>
                <c:pt idx="4">
                  <c:v>4.1109753230857735E-2</c:v>
                </c:pt>
                <c:pt idx="5">
                  <c:v>5.138842695065482E-2</c:v>
                </c:pt>
                <c:pt idx="6">
                  <c:v>6.1667694084976611E-2</c:v>
                </c:pt>
                <c:pt idx="7">
                  <c:v>7.1947554266757349E-2</c:v>
                </c:pt>
                <c:pt idx="8">
                  <c:v>8.2228007128185343E-2</c:v>
                </c:pt>
                <c:pt idx="9">
                  <c:v>9.2509052300701888E-2</c:v>
                </c:pt>
                <c:pt idx="10">
                  <c:v>0.10279068941499998</c:v>
                </c:pt>
                <c:pt idx="11">
                  <c:v>0.11307291810102342</c:v>
                </c:pt>
                <c:pt idx="12">
                  <c:v>0.12335573798796541</c:v>
                </c:pt>
                <c:pt idx="13">
                  <c:v>0.13363914870426763</c:v>
                </c:pt>
                <c:pt idx="14">
                  <c:v>0.14392314987761906</c:v>
                </c:pt>
                <c:pt idx="15">
                  <c:v>0.15420774113495478</c:v>
                </c:pt>
                <c:pt idx="16">
                  <c:v>0.16449292210245492</c:v>
                </c:pt>
                <c:pt idx="17">
                  <c:v>0.1747786924055435</c:v>
                </c:pt>
                <c:pt idx="18">
                  <c:v>0.18506505166888718</c:v>
                </c:pt>
                <c:pt idx="19">
                  <c:v>0.19535199951639434</c:v>
                </c:pt>
                <c:pt idx="20">
                  <c:v>0.20563953557121387</c:v>
                </c:pt>
                <c:pt idx="21">
                  <c:v>0.21592765945573394</c:v>
                </c:pt>
                <c:pt idx="22">
                  <c:v>0.22621637079158102</c:v>
                </c:pt>
                <c:pt idx="23">
                  <c:v>0.23650566919961846</c:v>
                </c:pt>
                <c:pt idx="24">
                  <c:v>0.24679555429994593</c:v>
                </c:pt>
                <c:pt idx="25">
                  <c:v>0.25708602571189759</c:v>
                </c:pt>
                <c:pt idx="26">
                  <c:v>0.26737708305404151</c:v>
                </c:pt>
                <c:pt idx="27">
                  <c:v>0.27766872594417813</c:v>
                </c:pt>
                <c:pt idx="28">
                  <c:v>0.28796095399933958</c:v>
                </c:pt>
                <c:pt idx="29">
                  <c:v>0.29825376683578797</c:v>
                </c:pt>
                <c:pt idx="30">
                  <c:v>0.308547164069015</c:v>
                </c:pt>
                <c:pt idx="31">
                  <c:v>0.31884114531374008</c:v>
                </c:pt>
                <c:pt idx="32">
                  <c:v>0.32913571018390936</c:v>
                </c:pt>
                <c:pt idx="33">
                  <c:v>0.33943085829269531</c:v>
                </c:pt>
                <c:pt idx="34">
                  <c:v>0.34972658925249467</c:v>
                </c:pt>
                <c:pt idx="35">
                  <c:v>0.36002290267492765</c:v>
                </c:pt>
                <c:pt idx="36">
                  <c:v>0.3703197981708371</c:v>
                </c:pt>
                <c:pt idx="37">
                  <c:v>0.380617275350287</c:v>
                </c:pt>
                <c:pt idx="38">
                  <c:v>0.39091533382256116</c:v>
                </c:pt>
                <c:pt idx="39">
                  <c:v>0.40121397319616298</c:v>
                </c:pt>
                <c:pt idx="40">
                  <c:v>0.41151319307881307</c:v>
                </c:pt>
                <c:pt idx="41">
                  <c:v>0.42181299307744935</c:v>
                </c:pt>
                <c:pt idx="42">
                  <c:v>0.43211337279822493</c:v>
                </c:pt>
                <c:pt idx="43">
                  <c:v>0.44241433184650736</c:v>
                </c:pt>
                <c:pt idx="44">
                  <c:v>0.45271586982687795</c:v>
                </c:pt>
                <c:pt idx="45">
                  <c:v>0.46301798634312968</c:v>
                </c:pt>
                <c:pt idx="46">
                  <c:v>0.47332068099826691</c:v>
                </c:pt>
                <c:pt idx="47">
                  <c:v>0.48362395339450398</c:v>
                </c:pt>
                <c:pt idx="48">
                  <c:v>0.49392780313326384</c:v>
                </c:pt>
                <c:pt idx="49">
                  <c:v>0.50423222981517724</c:v>
                </c:pt>
                <c:pt idx="50">
                  <c:v>0.51453723304008125</c:v>
                </c:pt>
                <c:pt idx="51">
                  <c:v>0.5248428124070188</c:v>
                </c:pt>
                <c:pt idx="52">
                  <c:v>0.53514896751423691</c:v>
                </c:pt>
                <c:pt idx="53">
                  <c:v>0.54545569795918536</c:v>
                </c:pt>
                <c:pt idx="54">
                  <c:v>0.55576300333851658</c:v>
                </c:pt>
                <c:pt idx="55">
                  <c:v>0.56607088324808341</c:v>
                </c:pt>
                <c:pt idx="56">
                  <c:v>0.576379337282939</c:v>
                </c:pt>
                <c:pt idx="57">
                  <c:v>0.58668836503733435</c:v>
                </c:pt>
                <c:pt idx="58">
                  <c:v>0.59699796610471856</c:v>
                </c:pt>
                <c:pt idx="59">
                  <c:v>0.60730814007773737</c:v>
                </c:pt>
                <c:pt idx="60">
                  <c:v>0.61761888654823038</c:v>
                </c:pt>
                <c:pt idx="61">
                  <c:v>0.62793020510723319</c:v>
                </c:pt>
                <c:pt idx="62">
                  <c:v>0.63824209534497323</c:v>
                </c:pt>
                <c:pt idx="63">
                  <c:v>0.64855455685086949</c:v>
                </c:pt>
                <c:pt idx="64">
                  <c:v>0.65886758921353283</c:v>
                </c:pt>
                <c:pt idx="65">
                  <c:v>0.66918119202076287</c:v>
                </c:pt>
                <c:pt idx="66">
                  <c:v>0.67949536485954787</c:v>
                </c:pt>
                <c:pt idx="67">
                  <c:v>0.6898101073160634</c:v>
                </c:pt>
                <c:pt idx="68">
                  <c:v>0.7001254189756716</c:v>
                </c:pt>
                <c:pt idx="69">
                  <c:v>0.710441299422919</c:v>
                </c:pt>
                <c:pt idx="70">
                  <c:v>0.72075774824153682</c:v>
                </c:pt>
                <c:pt idx="71">
                  <c:v>0.73107476501443847</c:v>
                </c:pt>
                <c:pt idx="72">
                  <c:v>0.74139234932371956</c:v>
                </c:pt>
                <c:pt idx="73">
                  <c:v>0.75171050075065593</c:v>
                </c:pt>
                <c:pt idx="74">
                  <c:v>0.76202921887570307</c:v>
                </c:pt>
                <c:pt idx="75">
                  <c:v>0.77234850327849447</c:v>
                </c:pt>
                <c:pt idx="76">
                  <c:v>0.78266835353784114</c:v>
                </c:pt>
                <c:pt idx="77">
                  <c:v>0.79298876923173012</c:v>
                </c:pt>
                <c:pt idx="78">
                  <c:v>0.80330974993732307</c:v>
                </c:pt>
                <c:pt idx="79">
                  <c:v>0.81363129523095568</c:v>
                </c:pt>
                <c:pt idx="80">
                  <c:v>0.82395340468813627</c:v>
                </c:pt>
                <c:pt idx="81">
                  <c:v>0.83427607788354474</c:v>
                </c:pt>
                <c:pt idx="82">
                  <c:v>0.84459931439103131</c:v>
                </c:pt>
                <c:pt idx="83">
                  <c:v>0.85492311378361574</c:v>
                </c:pt>
                <c:pt idx="84">
                  <c:v>0.86524747563348514</c:v>
                </c:pt>
                <c:pt idx="85">
                  <c:v>0.87557239951199484</c:v>
                </c:pt>
                <c:pt idx="86">
                  <c:v>0.88589788498966504</c:v>
                </c:pt>
                <c:pt idx="87">
                  <c:v>0.8962239316361813</c:v>
                </c:pt>
                <c:pt idx="88">
                  <c:v>0.90655053902039306</c:v>
                </c:pt>
                <c:pt idx="89">
                  <c:v>0.91687770671031132</c:v>
                </c:pt>
                <c:pt idx="90">
                  <c:v>0.92720543427310931</c:v>
                </c:pt>
                <c:pt idx="91">
                  <c:v>0.93753372127512036</c:v>
                </c:pt>
                <c:pt idx="92">
                  <c:v>0.94786256728183649</c:v>
                </c:pt>
                <c:pt idx="93">
                  <c:v>0.95819197185790861</c:v>
                </c:pt>
                <c:pt idx="94">
                  <c:v>0.96852193456714364</c:v>
                </c:pt>
                <c:pt idx="95">
                  <c:v>0.97885245497250484</c:v>
                </c:pt>
                <c:pt idx="96">
                  <c:v>0.98918353263610981</c:v>
                </c:pt>
                <c:pt idx="97">
                  <c:v>0.99951516711922961</c:v>
                </c:pt>
                <c:pt idx="98">
                  <c:v>1.0098473579822882</c:v>
                </c:pt>
                <c:pt idx="99">
                  <c:v>1.0201801047848598</c:v>
                </c:pt>
                <c:pt idx="100">
                  <c:v>1.0305134070856703</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Calculations'!$U$9:$U$109</c:f>
              <c:numCache>
                <c:formatCode>0.000</c:formatCode>
                <c:ptCount val="101"/>
                <c:pt idx="0">
                  <c:v>0.30003440002526249</c:v>
                </c:pt>
                <c:pt idx="1">
                  <c:v>0.30004460741932182</c:v>
                </c:pt>
                <c:pt idx="2">
                  <c:v>0.30007529505163077</c:v>
                </c:pt>
                <c:pt idx="3">
                  <c:v>0.30012646321679637</c:v>
                </c:pt>
                <c:pt idx="4">
                  <c:v>0.30019811240604588</c:v>
                </c:pt>
                <c:pt idx="5">
                  <c:v>0.30029024330723819</c:v>
                </c:pt>
                <c:pt idx="6">
                  <c:v>0.3004028568048806</c:v>
                </c:pt>
                <c:pt idx="7">
                  <c:v>0.30053595398015021</c:v>
                </c:pt>
                <c:pt idx="8">
                  <c:v>0.30068953611091931</c:v>
                </c:pt>
                <c:pt idx="9">
                  <c:v>0.3008636046717868</c:v>
                </c:pt>
                <c:pt idx="10">
                  <c:v>0.30105816133411284</c:v>
                </c:pt>
                <c:pt idx="11">
                  <c:v>0.3012732079660595</c:v>
                </c:pt>
                <c:pt idx="12">
                  <c:v>0.30150874663263544</c:v>
                </c:pt>
                <c:pt idx="13">
                  <c:v>0.30176477959574532</c:v>
                </c:pt>
                <c:pt idx="14">
                  <c:v>0.3020413093142445</c:v>
                </c:pt>
                <c:pt idx="15">
                  <c:v>0.30233833844399782</c:v>
                </c:pt>
                <c:pt idx="16">
                  <c:v>0.30265586983794324</c:v>
                </c:pt>
                <c:pt idx="17">
                  <c:v>0.30299390654616071</c:v>
                </c:pt>
                <c:pt idx="18">
                  <c:v>0.30335245181594522</c:v>
                </c:pt>
                <c:pt idx="19">
                  <c:v>0.30373150909188484</c:v>
                </c:pt>
                <c:pt idx="20">
                  <c:v>0.30413108201594352</c:v>
                </c:pt>
                <c:pt idx="21">
                  <c:v>0.30455117442754859</c:v>
                </c:pt>
                <c:pt idx="22">
                  <c:v>0.30499179036368301</c:v>
                </c:pt>
                <c:pt idx="23">
                  <c:v>0.30545293405898233</c:v>
                </c:pt>
                <c:pt idx="24">
                  <c:v>0.30593460994583671</c:v>
                </c:pt>
                <c:pt idx="25">
                  <c:v>0.30643682265449712</c:v>
                </c:pt>
                <c:pt idx="26">
                  <c:v>0.30695957701318705</c:v>
                </c:pt>
                <c:pt idx="27">
                  <c:v>0.30750287804821852</c:v>
                </c:pt>
                <c:pt idx="28">
                  <c:v>0.30806673098411286</c:v>
                </c:pt>
                <c:pt idx="29">
                  <c:v>0.30865114124372645</c:v>
                </c:pt>
                <c:pt idx="30">
                  <c:v>0.3092561144483813</c:v>
                </c:pt>
                <c:pt idx="31">
                  <c:v>0.3098816564180002</c:v>
                </c:pt>
                <c:pt idx="32">
                  <c:v>0.31052777317124708</c:v>
                </c:pt>
                <c:pt idx="33">
                  <c:v>0.31119447092567165</c:v>
                </c:pt>
                <c:pt idx="34">
                  <c:v>0.31188175609785929</c:v>
                </c:pt>
                <c:pt idx="35">
                  <c:v>0.31258963530358547</c:v>
                </c:pt>
                <c:pt idx="36">
                  <c:v>0.31331811535797532</c:v>
                </c:pt>
                <c:pt idx="37">
                  <c:v>0.31406720327566778</c:v>
                </c:pt>
                <c:pt idx="38">
                  <c:v>0.31483690627098476</c:v>
                </c:pt>
                <c:pt idx="39">
                  <c:v>0.31562723175810498</c:v>
                </c:pt>
                <c:pt idx="40">
                  <c:v>0.31643818735124274</c:v>
                </c:pt>
                <c:pt idx="41">
                  <c:v>0.31726978086483193</c:v>
                </c:pt>
                <c:pt idx="42">
                  <c:v>0.31812202031371417</c:v>
                </c:pt>
                <c:pt idx="43">
                  <c:v>0.31899491391333251</c:v>
                </c:pt>
                <c:pt idx="44">
                  <c:v>0.31988847007992971</c:v>
                </c:pt>
                <c:pt idx="45">
                  <c:v>0.32080269743075157</c:v>
                </c:pt>
                <c:pt idx="46">
                  <c:v>0.32173760478425495</c:v>
                </c:pt>
                <c:pt idx="47">
                  <c:v>0.32269320116032119</c:v>
                </c:pt>
                <c:pt idx="48">
                  <c:v>0.32366949578047355</c:v>
                </c:pt>
                <c:pt idx="49">
                  <c:v>0.32466649806810094</c:v>
                </c:pt>
                <c:pt idx="50">
                  <c:v>0.32568421764868538</c:v>
                </c:pt>
                <c:pt idx="51">
                  <c:v>0.32672266435003494</c:v>
                </c:pt>
                <c:pt idx="52">
                  <c:v>0.3277818482025216</c:v>
                </c:pt>
                <c:pt idx="53">
                  <c:v>0.32886177943932449</c:v>
                </c:pt>
                <c:pt idx="54">
                  <c:v>0.32996246849667737</c:v>
                </c:pt>
                <c:pt idx="55">
                  <c:v>0.3310839260141214</c:v>
                </c:pt>
                <c:pt idx="56">
                  <c:v>0.33222616283476342</c:v>
                </c:pt>
                <c:pt idx="57">
                  <c:v>0.33338919000553868</c:v>
                </c:pt>
                <c:pt idx="58">
                  <c:v>0.33457301877747875</c:v>
                </c:pt>
                <c:pt idx="59">
                  <c:v>0.3357776606059848</c:v>
                </c:pt>
                <c:pt idx="60">
                  <c:v>0.3370031271511052</c:v>
                </c:pt>
                <c:pt idx="61">
                  <c:v>0.33824943027781929</c:v>
                </c:pt>
                <c:pt idx="62">
                  <c:v>0.33951658205632534</c:v>
                </c:pt>
                <c:pt idx="63">
                  <c:v>0.34080459476233377</c:v>
                </c:pt>
                <c:pt idx="64">
                  <c:v>0.34211348087736604</c:v>
                </c:pt>
                <c:pt idx="65">
                  <c:v>0.34344325308905799</c:v>
                </c:pt>
                <c:pt idx="66">
                  <c:v>0.34479392429146877</c:v>
                </c:pt>
                <c:pt idx="67">
                  <c:v>0.34616550758539477</c:v>
                </c:pt>
                <c:pt idx="68">
                  <c:v>0.34755801627868849</c:v>
                </c:pt>
                <c:pt idx="69">
                  <c:v>0.3489714638865834</c:v>
                </c:pt>
                <c:pt idx="70">
                  <c:v>0.35040586413202285</c:v>
                </c:pt>
                <c:pt idx="71">
                  <c:v>0.35186123094599525</c:v>
                </c:pt>
                <c:pt idx="72">
                  <c:v>0.35333757846787378</c:v>
                </c:pt>
                <c:pt idx="73">
                  <c:v>0.35483492104576181</c:v>
                </c:pt>
                <c:pt idx="74">
                  <c:v>0.35635327323684335</c:v>
                </c:pt>
                <c:pt idx="75">
                  <c:v>0.35789264980773866</c:v>
                </c:pt>
                <c:pt idx="76">
                  <c:v>0.35945306573486546</c:v>
                </c:pt>
                <c:pt idx="77">
                  <c:v>0.36103453620480563</c:v>
                </c:pt>
                <c:pt idx="78">
                  <c:v>0.3626370766146762</c:v>
                </c:pt>
                <c:pt idx="79">
                  <c:v>0.36426070257250731</c:v>
                </c:pt>
                <c:pt idx="80">
                  <c:v>0.36590542989762387</c:v>
                </c:pt>
                <c:pt idx="81">
                  <c:v>0.36757127462103401</c:v>
                </c:pt>
                <c:pt idx="82">
                  <c:v>0.36925825298582188</c:v>
                </c:pt>
                <c:pt idx="83">
                  <c:v>0.37096638144754679</c:v>
                </c:pt>
                <c:pt idx="84">
                  <c:v>0.37269567667464654</c:v>
                </c:pt>
                <c:pt idx="85">
                  <c:v>0.37444615554884797</c:v>
                </c:pt>
                <c:pt idx="86">
                  <c:v>0.37621783516558127</c:v>
                </c:pt>
                <c:pt idx="87">
                  <c:v>0.37801073283440062</c:v>
                </c:pt>
                <c:pt idx="88">
                  <c:v>0.37982486607941068</c:v>
                </c:pt>
                <c:pt idx="89">
                  <c:v>0.38166025263969744</c:v>
                </c:pt>
                <c:pt idx="90">
                  <c:v>0.3835169104697661</c:v>
                </c:pt>
                <c:pt idx="91">
                  <c:v>0.38539485773998333</c:v>
                </c:pt>
                <c:pt idx="92">
                  <c:v>0.38729411283702569</c:v>
                </c:pt>
                <c:pt idx="93">
                  <c:v>0.38921469436433404</c:v>
                </c:pt>
                <c:pt idx="94">
                  <c:v>0.39115662114257199</c:v>
                </c:pt>
                <c:pt idx="95">
                  <c:v>0.39311991221009229</c:v>
                </c:pt>
                <c:pt idx="96">
                  <c:v>0.39510458682340704</c:v>
                </c:pt>
                <c:pt idx="97">
                  <c:v>0.39711066445766469</c:v>
                </c:pt>
                <c:pt idx="98">
                  <c:v>0.39913816480713227</c:v>
                </c:pt>
                <c:pt idx="99">
                  <c:v>0.40118710778568328</c:v>
                </c:pt>
                <c:pt idx="100">
                  <c:v>0.40325751352729189</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Calculations'!$AW$9:$AW$109</c:f>
              <c:numCache>
                <c:formatCode>0.0</c:formatCode>
                <c:ptCount val="101"/>
                <c:pt idx="0">
                  <c:v>30.368693143386295</c:v>
                </c:pt>
                <c:pt idx="1">
                  <c:v>31.383274549887442</c:v>
                </c:pt>
                <c:pt idx="2">
                  <c:v>32.35864953756122</c:v>
                </c:pt>
                <c:pt idx="3">
                  <c:v>33.294819321138753</c:v>
                </c:pt>
                <c:pt idx="4">
                  <c:v>34.299994158364633</c:v>
                </c:pt>
                <c:pt idx="5">
                  <c:v>35.325344348346086</c:v>
                </c:pt>
                <c:pt idx="6">
                  <c:v>36.352267601505304</c:v>
                </c:pt>
                <c:pt idx="7">
                  <c:v>37.380766694307717</c:v>
                </c:pt>
                <c:pt idx="8">
                  <c:v>38.410844444850234</c:v>
                </c:pt>
                <c:pt idx="9">
                  <c:v>39.442503712994657</c:v>
                </c:pt>
                <c:pt idx="10">
                  <c:v>40.475747400504005</c:v>
                </c:pt>
                <c:pt idx="11">
                  <c:v>41.510578451181495</c:v>
                </c:pt>
                <c:pt idx="12">
                  <c:v>42.546999851012444</c:v>
                </c:pt>
                <c:pt idx="13">
                  <c:v>43.585014628308869</c:v>
                </c:pt>
                <c:pt idx="14">
                  <c:v>44.624625853856891</c:v>
                </c:pt>
                <c:pt idx="15">
                  <c:v>45.665836641067152</c:v>
                </c:pt>
                <c:pt idx="16">
                  <c:v>46.708650146127894</c:v>
                </c:pt>
                <c:pt idx="17">
                  <c:v>47.753069568160967</c:v>
                </c:pt>
                <c:pt idx="18">
                  <c:v>48.79909814938074</c:v>
                </c:pt>
                <c:pt idx="19">
                  <c:v>49.846739175255948</c:v>
                </c:pt>
                <c:pt idx="20">
                  <c:v>50.895995974674335</c:v>
                </c:pt>
                <c:pt idx="21">
                  <c:v>51.946871920110397</c:v>
                </c:pt>
                <c:pt idx="22">
                  <c:v>52.999370427795881</c:v>
                </c:pt>
                <c:pt idx="23">
                  <c:v>54.053494957893413</c:v>
                </c:pt>
                <c:pt idx="24">
                  <c:v>55.109249014673111</c:v>
                </c:pt>
                <c:pt idx="25">
                  <c:v>56.166636146692028</c:v>
                </c:pt>
                <c:pt idx="26">
                  <c:v>57.225659946976883</c:v>
                </c:pt>
                <c:pt idx="27">
                  <c:v>58.286324053209547</c:v>
                </c:pt>
                <c:pt idx="28">
                  <c:v>59.348632147915879</c:v>
                </c:pt>
                <c:pt idx="29">
                  <c:v>60.412587958657447</c:v>
                </c:pt>
                <c:pt idx="30">
                  <c:v>61.478195258226428</c:v>
                </c:pt>
                <c:pt idx="31">
                  <c:v>62.545457864843627</c:v>
                </c:pt>
                <c:pt idx="32">
                  <c:v>63.614379642359587</c:v>
                </c:pt>
                <c:pt idx="33">
                  <c:v>64.684964500459031</c:v>
                </c:pt>
                <c:pt idx="34">
                  <c:v>65.757216394868308</c:v>
                </c:pt>
                <c:pt idx="35">
                  <c:v>66.83113932756612</c:v>
                </c:pt>
                <c:pt idx="36">
                  <c:v>67.906737346997588</c:v>
                </c:pt>
                <c:pt idx="37">
                  <c:v>68.984014548291356</c:v>
                </c:pt>
                <c:pt idx="38">
                  <c:v>70.062975073480203</c:v>
                </c:pt>
                <c:pt idx="39">
                  <c:v>71.143623111724864</c:v>
                </c:pt>
                <c:pt idx="40">
                  <c:v>72.225962899541145</c:v>
                </c:pt>
                <c:pt idx="41">
                  <c:v>73.309998721030539</c:v>
                </c:pt>
                <c:pt idx="42">
                  <c:v>74.395734908113937</c:v>
                </c:pt>
                <c:pt idx="43">
                  <c:v>75.483175840769206</c:v>
                </c:pt>
                <c:pt idx="44">
                  <c:v>76.57232594727175</c:v>
                </c:pt>
                <c:pt idx="45">
                  <c:v>77.66318970443875</c:v>
                </c:pt>
                <c:pt idx="46">
                  <c:v>78.755771637876933</c:v>
                </c:pt>
                <c:pt idx="47">
                  <c:v>79.850076322233818</c:v>
                </c:pt>
                <c:pt idx="48">
                  <c:v>80.94610838145239</c:v>
                </c:pt>
                <c:pt idx="49">
                  <c:v>82.043872489029482</c:v>
                </c:pt>
                <c:pt idx="50">
                  <c:v>83.143373368277793</c:v>
                </c:pt>
                <c:pt idx="51">
                  <c:v>84.244615792591475</c:v>
                </c:pt>
                <c:pt idx="52">
                  <c:v>85.347604585715331</c:v>
                </c:pt>
                <c:pt idx="53">
                  <c:v>86.452344622017819</c:v>
                </c:pt>
                <c:pt idx="54">
                  <c:v>87.558840826767721</c:v>
                </c:pt>
                <c:pt idx="55">
                  <c:v>88.667098176414612</c:v>
                </c:pt>
                <c:pt idx="56">
                  <c:v>89.777121698873103</c:v>
                </c:pt>
                <c:pt idx="57">
                  <c:v>90.888916473810895</c:v>
                </c:pt>
                <c:pt idx="58">
                  <c:v>92.002487632940728</c:v>
                </c:pt>
                <c:pt idx="59">
                  <c:v>93.11784036031618</c:v>
                </c:pt>
                <c:pt idx="60">
                  <c:v>94.234979892631387</c:v>
                </c:pt>
                <c:pt idx="61">
                  <c:v>95.353911519524928</c:v>
                </c:pt>
                <c:pt idx="62">
                  <c:v>96.474640583887322</c:v>
                </c:pt>
                <c:pt idx="63">
                  <c:v>97.597172482172894</c:v>
                </c:pt>
                <c:pt idx="64">
                  <c:v>98.721512664715632</c:v>
                </c:pt>
                <c:pt idx="65">
                  <c:v>99.847666636049041</c:v>
                </c:pt>
                <c:pt idx="66">
                  <c:v>100.97563995523026</c:v>
                </c:pt>
                <c:pt idx="67">
                  <c:v>102.10543823616844</c:v>
                </c:pt>
                <c:pt idx="68">
                  <c:v>103.23706714795702</c:v>
                </c:pt>
                <c:pt idx="69">
                  <c:v>104.37053241521073</c:v>
                </c:pt>
                <c:pt idx="70">
                  <c:v>105.50583981840649</c:v>
                </c:pt>
                <c:pt idx="71">
                  <c:v>106.642995194229</c:v>
                </c:pt>
                <c:pt idx="72">
                  <c:v>107.78200443592034</c:v>
                </c:pt>
                <c:pt idx="73">
                  <c:v>108.92287349363447</c:v>
                </c:pt>
                <c:pt idx="74">
                  <c:v>110.06560837479577</c:v>
                </c:pt>
                <c:pt idx="75">
                  <c:v>111.2102151444623</c:v>
                </c:pt>
                <c:pt idx="76">
                  <c:v>112.3566999256937</c:v>
                </c:pt>
                <c:pt idx="77">
                  <c:v>113.5050688999236</c:v>
                </c:pt>
                <c:pt idx="78">
                  <c:v>114.65532830733656</c:v>
                </c:pt>
                <c:pt idx="79">
                  <c:v>115.80748444725</c:v>
                </c:pt>
                <c:pt idx="80">
                  <c:v>116.96154367850068</c:v>
                </c:pt>
                <c:pt idx="81">
                  <c:v>118.11751241983595</c:v>
                </c:pt>
                <c:pt idx="82">
                  <c:v>119.27539715031004</c:v>
                </c:pt>
                <c:pt idx="83">
                  <c:v>120.43520440968507</c:v>
                </c:pt>
                <c:pt idx="84">
                  <c:v>121.59694079883701</c:v>
                </c:pt>
                <c:pt idx="85">
                  <c:v>122.76061298016678</c:v>
                </c:pt>
                <c:pt idx="86">
                  <c:v>123.92622767801633</c:v>
                </c:pt>
                <c:pt idx="87">
                  <c:v>125.09379167908961</c:v>
                </c:pt>
                <c:pt idx="88">
                  <c:v>126.26331183287915</c:v>
                </c:pt>
                <c:pt idx="89">
                  <c:v>127.43479505209739</c:v>
                </c:pt>
                <c:pt idx="90">
                  <c:v>128.60824831311351</c:v>
                </c:pt>
                <c:pt idx="91">
                  <c:v>129.78367865639567</c:v>
                </c:pt>
                <c:pt idx="92">
                  <c:v>130.96109318695827</c:v>
                </c:pt>
                <c:pt idx="93">
                  <c:v>132.1404990748151</c:v>
                </c:pt>
                <c:pt idx="94">
                  <c:v>133.32190355543753</c:v>
                </c:pt>
                <c:pt idx="95">
                  <c:v>134.50531393021876</c:v>
                </c:pt>
                <c:pt idx="96">
                  <c:v>135.69073756694311</c:v>
                </c:pt>
                <c:pt idx="97">
                  <c:v>136.87818190026147</c:v>
                </c:pt>
                <c:pt idx="98">
                  <c:v>138.06765443217216</c:v>
                </c:pt>
                <c:pt idx="99">
                  <c:v>139.25916273250775</c:v>
                </c:pt>
                <c:pt idx="100">
                  <c:v>140.45271443942795</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Calculations'!$AX$9:$AX$109</c:f>
              <c:numCache>
                <c:formatCode>0.0</c:formatCode>
                <c:ptCount val="101"/>
                <c:pt idx="0">
                  <c:v>0.11826023872716702</c:v>
                </c:pt>
                <c:pt idx="1">
                  <c:v>0.4714574390565292</c:v>
                </c:pt>
                <c:pt idx="2">
                  <c:v>0.82467724852784352</c:v>
                </c:pt>
                <c:pt idx="3">
                  <c:v>1.1779196463728816</c:v>
                </c:pt>
                <c:pt idx="4">
                  <c:v>1.5621706898454832</c:v>
                </c:pt>
                <c:pt idx="5">
                  <c:v>1.9527603557227224</c:v>
                </c:pt>
                <c:pt idx="6">
                  <c:v>2.343372603155792</c:v>
                </c:pt>
                <c:pt idx="7">
                  <c:v>2.7340074245310428</c:v>
                </c:pt>
                <c:pt idx="8">
                  <c:v>3.124664812197524</c:v>
                </c:pt>
                <c:pt idx="9">
                  <c:v>3.5153447584669335</c:v>
                </c:pt>
                <c:pt idx="10">
                  <c:v>3.906047255613565</c:v>
                </c:pt>
                <c:pt idx="11">
                  <c:v>4.2967722958742653</c:v>
                </c:pt>
                <c:pt idx="12">
                  <c:v>4.6875198714483783</c:v>
                </c:pt>
                <c:pt idx="13">
                  <c:v>5.0782899744976993</c:v>
                </c:pt>
                <c:pt idx="14">
                  <c:v>5.4690825971464232</c:v>
                </c:pt>
                <c:pt idx="15">
                  <c:v>5.8598977314810989</c:v>
                </c:pt>
                <c:pt idx="16">
                  <c:v>6.2507353695505774</c:v>
                </c:pt>
                <c:pt idx="17">
                  <c:v>6.6415955033659628</c:v>
                </c:pt>
                <c:pt idx="18">
                  <c:v>7.0324781249005568</c:v>
                </c:pt>
                <c:pt idx="19">
                  <c:v>7.4233832260898192</c:v>
                </c:pt>
                <c:pt idx="20">
                  <c:v>7.814310798831313</c:v>
                </c:pt>
                <c:pt idx="21">
                  <c:v>8.2052608349846583</c:v>
                </c:pt>
                <c:pt idx="22">
                  <c:v>8.5962333263714719</c:v>
                </c:pt>
                <c:pt idx="23">
                  <c:v>8.987228264775327</c:v>
                </c:pt>
                <c:pt idx="24">
                  <c:v>9.3782456419417102</c:v>
                </c:pt>
                <c:pt idx="25">
                  <c:v>9.76928544957795</c:v>
                </c:pt>
                <c:pt idx="26">
                  <c:v>10.16034767935319</c:v>
                </c:pt>
                <c:pt idx="27">
                  <c:v>10.551432322898323</c:v>
                </c:pt>
                <c:pt idx="28">
                  <c:v>10.94253937180595</c:v>
                </c:pt>
                <c:pt idx="29">
                  <c:v>11.333668817630326</c:v>
                </c:pt>
                <c:pt idx="30">
                  <c:v>11.724820651887308</c:v>
                </c:pt>
                <c:pt idx="31">
                  <c:v>12.115994866054317</c:v>
                </c:pt>
                <c:pt idx="32">
                  <c:v>12.507191451570263</c:v>
                </c:pt>
                <c:pt idx="33">
                  <c:v>12.898410399835532</c:v>
                </c:pt>
                <c:pt idx="34">
                  <c:v>13.289651702211891</c:v>
                </c:pt>
                <c:pt idx="35">
                  <c:v>13.680915350022484</c:v>
                </c:pt>
                <c:pt idx="36">
                  <c:v>14.072201334551742</c:v>
                </c:pt>
                <c:pt idx="37">
                  <c:v>14.46350964704536</c:v>
                </c:pt>
                <c:pt idx="38">
                  <c:v>14.854840278710228</c:v>
                </c:pt>
                <c:pt idx="39">
                  <c:v>15.2461932207144</c:v>
                </c:pt>
                <c:pt idx="40">
                  <c:v>15.637568464187019</c:v>
                </c:pt>
                <c:pt idx="41">
                  <c:v>16.028966000218293</c:v>
                </c:pt>
                <c:pt idx="42">
                  <c:v>16.420385819859433</c:v>
                </c:pt>
                <c:pt idx="43">
                  <c:v>16.811827914122585</c:v>
                </c:pt>
                <c:pt idx="44">
                  <c:v>17.203292273980811</c:v>
                </c:pt>
                <c:pt idx="45">
                  <c:v>17.594778890368016</c:v>
                </c:pt>
                <c:pt idx="46">
                  <c:v>17.986287754178907</c:v>
                </c:pt>
                <c:pt idx="47">
                  <c:v>18.377818856268949</c:v>
                </c:pt>
                <c:pt idx="48">
                  <c:v>18.769372187454291</c:v>
                </c:pt>
                <c:pt idx="49">
                  <c:v>19.16094773851173</c:v>
                </c:pt>
                <c:pt idx="50">
                  <c:v>19.552545500178674</c:v>
                </c:pt>
                <c:pt idx="51">
                  <c:v>19.944165463153066</c:v>
                </c:pt>
                <c:pt idx="52">
                  <c:v>20.335807618093348</c:v>
                </c:pt>
                <c:pt idx="53">
                  <c:v>20.727471955618405</c:v>
                </c:pt>
                <c:pt idx="54">
                  <c:v>21.119158466307518</c:v>
                </c:pt>
                <c:pt idx="55">
                  <c:v>21.510867140700306</c:v>
                </c:pt>
                <c:pt idx="56">
                  <c:v>21.902597969296696</c:v>
                </c:pt>
                <c:pt idx="57">
                  <c:v>22.294350942556829</c:v>
                </c:pt>
                <c:pt idx="58">
                  <c:v>22.686126050901056</c:v>
                </c:pt>
                <c:pt idx="59">
                  <c:v>23.077923284709872</c:v>
                </c:pt>
                <c:pt idx="60">
                  <c:v>23.469742634323829</c:v>
                </c:pt>
                <c:pt idx="61">
                  <c:v>23.861584090043557</c:v>
                </c:pt>
                <c:pt idx="62">
                  <c:v>24.253447642129647</c:v>
                </c:pt>
                <c:pt idx="63">
                  <c:v>24.645333280802614</c:v>
                </c:pt>
                <c:pt idx="64">
                  <c:v>25.037240996242883</c:v>
                </c:pt>
                <c:pt idx="65">
                  <c:v>25.429170778590709</c:v>
                </c:pt>
                <c:pt idx="66">
                  <c:v>25.821122617946102</c:v>
                </c:pt>
                <c:pt idx="67">
                  <c:v>26.213096504368821</c:v>
                </c:pt>
                <c:pt idx="68">
                  <c:v>26.605092427878308</c:v>
                </c:pt>
                <c:pt idx="69">
                  <c:v>26.99711037845362</c:v>
                </c:pt>
                <c:pt idx="70">
                  <c:v>27.389150346033389</c:v>
                </c:pt>
                <c:pt idx="71">
                  <c:v>27.781212320515788</c:v>
                </c:pt>
                <c:pt idx="72">
                  <c:v>28.17329629175844</c:v>
                </c:pt>
                <c:pt idx="73">
                  <c:v>28.565402249578405</c:v>
                </c:pt>
                <c:pt idx="74">
                  <c:v>28.957530183752109</c:v>
                </c:pt>
                <c:pt idx="75">
                  <c:v>29.34968008401529</c:v>
                </c:pt>
                <c:pt idx="76">
                  <c:v>29.741851940062961</c:v>
                </c:pt>
                <c:pt idx="77">
                  <c:v>30.13404574154935</c:v>
                </c:pt>
                <c:pt idx="78">
                  <c:v>30.52626147808785</c:v>
                </c:pt>
                <c:pt idx="79">
                  <c:v>30.918499139250947</c:v>
                </c:pt>
                <c:pt idx="80">
                  <c:v>31.310758714570206</c:v>
                </c:pt>
                <c:pt idx="81">
                  <c:v>31.703040193536207</c:v>
                </c:pt>
                <c:pt idx="82">
                  <c:v>32.095343565598462</c:v>
                </c:pt>
                <c:pt idx="83">
                  <c:v>32.487668820165425</c:v>
                </c:pt>
                <c:pt idx="84">
                  <c:v>32.880015946604338</c:v>
                </c:pt>
                <c:pt idx="85">
                  <c:v>33.27238493424133</c:v>
                </c:pt>
                <c:pt idx="86">
                  <c:v>33.66477577236121</c:v>
                </c:pt>
                <c:pt idx="87">
                  <c:v>34.057188450207519</c:v>
                </c:pt>
                <c:pt idx="88">
                  <c:v>34.449622956982445</c:v>
                </c:pt>
                <c:pt idx="89">
                  <c:v>34.842079281846736</c:v>
                </c:pt>
                <c:pt idx="90">
                  <c:v>35.234557413919724</c:v>
                </c:pt>
                <c:pt idx="91">
                  <c:v>35.627057342279208</c:v>
                </c:pt>
                <c:pt idx="92">
                  <c:v>36.019579055961422</c:v>
                </c:pt>
                <c:pt idx="93">
                  <c:v>36.412122543961011</c:v>
                </c:pt>
                <c:pt idx="94">
                  <c:v>36.804687795230926</c:v>
                </c:pt>
                <c:pt idx="95">
                  <c:v>37.197274798682393</c:v>
                </c:pt>
                <c:pt idx="96">
                  <c:v>37.589883543184911</c:v>
                </c:pt>
                <c:pt idx="97">
                  <c:v>37.982514017566118</c:v>
                </c:pt>
                <c:pt idx="98">
                  <c:v>38.375166210611781</c:v>
                </c:pt>
                <c:pt idx="99">
                  <c:v>38.767840111065752</c:v>
                </c:pt>
                <c:pt idx="100">
                  <c:v>39.160535707629897</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Calculations'!$BC$9:$BC$109</c:f>
              <c:numCache>
                <c:formatCode>0.000</c:formatCode>
                <c:ptCount val="101"/>
                <c:pt idx="0">
                  <c:v>0.60737386286772588</c:v>
                </c:pt>
                <c:pt idx="1">
                  <c:v>0.62766549099774882</c:v>
                </c:pt>
                <c:pt idx="2">
                  <c:v>0.64717299075122448</c:v>
                </c:pt>
                <c:pt idx="3">
                  <c:v>0.66589638642277504</c:v>
                </c:pt>
                <c:pt idx="4">
                  <c:v>0.68599988316729266</c:v>
                </c:pt>
                <c:pt idx="5">
                  <c:v>0.70650688696692177</c:v>
                </c:pt>
                <c:pt idx="6">
                  <c:v>0.72704535203010612</c:v>
                </c:pt>
                <c:pt idx="7">
                  <c:v>0.74761533388615431</c:v>
                </c:pt>
                <c:pt idx="8">
                  <c:v>0.76821688889700468</c:v>
                </c:pt>
                <c:pt idx="9">
                  <c:v>0.78885007425989317</c:v>
                </c:pt>
                <c:pt idx="10">
                  <c:v>0.80951494801008006</c:v>
                </c:pt>
                <c:pt idx="11">
                  <c:v>0.83021156902362991</c:v>
                </c:pt>
                <c:pt idx="12">
                  <c:v>0.85093999702024892</c:v>
                </c:pt>
                <c:pt idx="13">
                  <c:v>0.87170029256617743</c:v>
                </c:pt>
                <c:pt idx="14">
                  <c:v>0.89249251707713784</c:v>
                </c:pt>
                <c:pt idx="15">
                  <c:v>0.91331673282134307</c:v>
                </c:pt>
                <c:pt idx="16">
                  <c:v>0.93417300292255789</c:v>
                </c:pt>
                <c:pt idx="17">
                  <c:v>0.95506139136321933</c:v>
                </c:pt>
                <c:pt idx="18">
                  <c:v>0.97598196298761486</c:v>
                </c:pt>
                <c:pt idx="19">
                  <c:v>0.99693478350511899</c:v>
                </c:pt>
                <c:pt idx="20">
                  <c:v>1.0179199194934867</c:v>
                </c:pt>
                <c:pt idx="21">
                  <c:v>1.0389374384022079</c:v>
                </c:pt>
                <c:pt idx="22">
                  <c:v>1.0599874085559176</c:v>
                </c:pt>
                <c:pt idx="23">
                  <c:v>1.0810698991578682</c:v>
                </c:pt>
                <c:pt idx="24">
                  <c:v>1.1021849802934622</c:v>
                </c:pt>
                <c:pt idx="25">
                  <c:v>1.1233327229338406</c:v>
                </c:pt>
                <c:pt idx="26">
                  <c:v>1.1445131989395376</c:v>
                </c:pt>
                <c:pt idx="27">
                  <c:v>1.165726481064191</c:v>
                </c:pt>
                <c:pt idx="28">
                  <c:v>1.1869726429583176</c:v>
                </c:pt>
                <c:pt idx="29">
                  <c:v>1.208251759173149</c:v>
                </c:pt>
                <c:pt idx="30">
                  <c:v>1.2295639051645286</c:v>
                </c:pt>
                <c:pt idx="31">
                  <c:v>1.2509091572968725</c:v>
                </c:pt>
                <c:pt idx="32">
                  <c:v>1.2722875928471917</c:v>
                </c:pt>
                <c:pt idx="33">
                  <c:v>1.2936992900091806</c:v>
                </c:pt>
                <c:pt idx="34">
                  <c:v>1.3151443278973662</c:v>
                </c:pt>
                <c:pt idx="35">
                  <c:v>1.3366227865513225</c:v>
                </c:pt>
                <c:pt idx="36">
                  <c:v>1.3581347469399518</c:v>
                </c:pt>
                <c:pt idx="37">
                  <c:v>1.3796802909658272</c:v>
                </c:pt>
                <c:pt idx="38">
                  <c:v>1.4012595014696041</c:v>
                </c:pt>
                <c:pt idx="39">
                  <c:v>1.4228724622344973</c:v>
                </c:pt>
                <c:pt idx="40">
                  <c:v>1.444519257990823</c:v>
                </c:pt>
                <c:pt idx="41">
                  <c:v>1.4661999744206109</c:v>
                </c:pt>
                <c:pt idx="42">
                  <c:v>1.4879146981622788</c:v>
                </c:pt>
                <c:pt idx="43">
                  <c:v>1.5096635168153842</c:v>
                </c:pt>
                <c:pt idx="44">
                  <c:v>1.5314465189454349</c:v>
                </c:pt>
                <c:pt idx="45">
                  <c:v>1.553263794088775</c:v>
                </c:pt>
                <c:pt idx="46">
                  <c:v>1.5751154327575387</c:v>
                </c:pt>
                <c:pt idx="47">
                  <c:v>1.5970015264446764</c:v>
                </c:pt>
                <c:pt idx="48">
                  <c:v>1.6189221676290477</c:v>
                </c:pt>
                <c:pt idx="49">
                  <c:v>1.6408774497805896</c:v>
                </c:pt>
                <c:pt idx="50">
                  <c:v>1.6628674673655559</c:v>
                </c:pt>
                <c:pt idx="51">
                  <c:v>1.6848923158518296</c:v>
                </c:pt>
                <c:pt idx="52">
                  <c:v>1.7069520917143066</c:v>
                </c:pt>
                <c:pt idx="53">
                  <c:v>1.7290468924403564</c:v>
                </c:pt>
                <c:pt idx="54">
                  <c:v>1.7511768165353545</c:v>
                </c:pt>
                <c:pt idx="55">
                  <c:v>1.7733419635282921</c:v>
                </c:pt>
                <c:pt idx="56">
                  <c:v>1.7955424339774622</c:v>
                </c:pt>
                <c:pt idx="57">
                  <c:v>1.817778329476218</c:v>
                </c:pt>
                <c:pt idx="58">
                  <c:v>1.8400497526588144</c:v>
                </c:pt>
                <c:pt idx="59">
                  <c:v>1.8623568072063235</c:v>
                </c:pt>
                <c:pt idx="60">
                  <c:v>1.8846995978526278</c:v>
                </c:pt>
                <c:pt idx="61">
                  <c:v>1.9070782303904985</c:v>
                </c:pt>
                <c:pt idx="62">
                  <c:v>1.9294928116777466</c:v>
                </c:pt>
                <c:pt idx="63">
                  <c:v>1.9519434496434578</c:v>
                </c:pt>
                <c:pt idx="64">
                  <c:v>1.9744302532943125</c:v>
                </c:pt>
                <c:pt idx="65">
                  <c:v>1.996953332720981</c:v>
                </c:pt>
                <c:pt idx="66">
                  <c:v>2.0195127991046053</c:v>
                </c:pt>
                <c:pt idx="67">
                  <c:v>2.0421087647233689</c:v>
                </c:pt>
                <c:pt idx="68">
                  <c:v>2.0647413429591404</c:v>
                </c:pt>
                <c:pt idx="69">
                  <c:v>2.0874106483042145</c:v>
                </c:pt>
                <c:pt idx="70">
                  <c:v>2.1101167963681298</c:v>
                </c:pt>
                <c:pt idx="71">
                  <c:v>2.1328599038845799</c:v>
                </c:pt>
                <c:pt idx="72">
                  <c:v>2.1556400887184068</c:v>
                </c:pt>
                <c:pt idx="73">
                  <c:v>2.1784574698726895</c:v>
                </c:pt>
                <c:pt idx="74">
                  <c:v>2.2013121674959155</c:v>
                </c:pt>
                <c:pt idx="75">
                  <c:v>2.224204302889246</c:v>
                </c:pt>
                <c:pt idx="76">
                  <c:v>2.2471339985138741</c:v>
                </c:pt>
                <c:pt idx="77">
                  <c:v>2.270101377998472</c:v>
                </c:pt>
                <c:pt idx="78">
                  <c:v>2.2931065661467311</c:v>
                </c:pt>
                <c:pt idx="79">
                  <c:v>2.316149688945</c:v>
                </c:pt>
                <c:pt idx="80">
                  <c:v>2.3392308735700134</c:v>
                </c:pt>
                <c:pt idx="81">
                  <c:v>2.3623502483967189</c:v>
                </c:pt>
                <c:pt idx="82">
                  <c:v>2.3855079430062007</c:v>
                </c:pt>
                <c:pt idx="83">
                  <c:v>2.4087040881937014</c:v>
                </c:pt>
                <c:pt idx="84">
                  <c:v>2.4319388159767401</c:v>
                </c:pt>
                <c:pt idx="85">
                  <c:v>2.4552122596033357</c:v>
                </c:pt>
                <c:pt idx="86">
                  <c:v>2.4785245535603266</c:v>
                </c:pt>
                <c:pt idx="87">
                  <c:v>2.5018758335817921</c:v>
                </c:pt>
                <c:pt idx="88">
                  <c:v>2.5252662366575831</c:v>
                </c:pt>
                <c:pt idx="89">
                  <c:v>2.5486959010419477</c:v>
                </c:pt>
                <c:pt idx="90">
                  <c:v>2.5721649662622701</c:v>
                </c:pt>
                <c:pt idx="91">
                  <c:v>2.5956735731279132</c:v>
                </c:pt>
                <c:pt idx="92">
                  <c:v>2.6192218637391651</c:v>
                </c:pt>
                <c:pt idx="93">
                  <c:v>2.6428099814963018</c:v>
                </c:pt>
                <c:pt idx="94">
                  <c:v>2.6664380711087508</c:v>
                </c:pt>
                <c:pt idx="95">
                  <c:v>2.6901062786043752</c:v>
                </c:pt>
                <c:pt idx="96">
                  <c:v>2.7138147513388624</c:v>
                </c:pt>
                <c:pt idx="97">
                  <c:v>2.7375636380052293</c:v>
                </c:pt>
                <c:pt idx="98">
                  <c:v>2.761353088643443</c:v>
                </c:pt>
                <c:pt idx="99">
                  <c:v>2.7851832546501551</c:v>
                </c:pt>
                <c:pt idx="100">
                  <c:v>2.809054288788559</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Calculations'!$BD$9:$BD$109</c:f>
              <c:numCache>
                <c:formatCode>0.000</c:formatCode>
                <c:ptCount val="101"/>
                <c:pt idx="0">
                  <c:v>3.1121115454517639E-3</c:v>
                </c:pt>
                <c:pt idx="1">
                  <c:v>1.2406774712013926E-2</c:v>
                </c:pt>
                <c:pt idx="2">
                  <c:v>2.1702032855995881E-2</c:v>
                </c:pt>
                <c:pt idx="3">
                  <c:v>3.0997885430865305E-2</c:v>
                </c:pt>
                <c:pt idx="4">
                  <c:v>4.1109754995933771E-2</c:v>
                </c:pt>
                <c:pt idx="5">
                  <c:v>5.1388430413755855E-2</c:v>
                </c:pt>
                <c:pt idx="6">
                  <c:v>6.1667700083047158E-2</c:v>
                </c:pt>
                <c:pt idx="7">
                  <c:v>7.1947563803448494E-2</c:v>
                </c:pt>
                <c:pt idx="8">
                  <c:v>8.2228021373619051E-2</c:v>
                </c:pt>
                <c:pt idx="9">
                  <c:v>9.2509072591235086E-2</c:v>
                </c:pt>
                <c:pt idx="10">
                  <c:v>0.10279071725298855</c:v>
                </c:pt>
                <c:pt idx="11">
                  <c:v>0.11307295515458593</c:v>
                </c:pt>
                <c:pt idx="12">
                  <c:v>0.12335578609074679</c:v>
                </c:pt>
                <c:pt idx="13">
                  <c:v>0.13363920985520261</c:v>
                </c:pt>
                <c:pt idx="14">
                  <c:v>0.14392322624069534</c:v>
                </c:pt>
                <c:pt idx="15">
                  <c:v>0.15420783503897628</c:v>
                </c:pt>
                <c:pt idx="16">
                  <c:v>0.16449303604080467</c:v>
                </c:pt>
                <c:pt idx="17">
                  <c:v>0.17477882903594638</c:v>
                </c:pt>
                <c:pt idx="18">
                  <c:v>0.18506521381317254</c:v>
                </c:pt>
                <c:pt idx="19">
                  <c:v>0.1953521901602584</c:v>
                </c:pt>
                <c:pt idx="20">
                  <c:v>0.20563975786398192</c:v>
                </c:pt>
                <c:pt idx="21">
                  <c:v>0.21592791671012257</c:v>
                </c:pt>
                <c:pt idx="22">
                  <c:v>0.22621666648345978</c:v>
                </c:pt>
                <c:pt idx="23">
                  <c:v>0.23650600696777174</c:v>
                </c:pt>
                <c:pt idx="24">
                  <c:v>0.24679593794583449</c:v>
                </c:pt>
                <c:pt idx="25">
                  <c:v>0.25708645919941975</c:v>
                </c:pt>
                <c:pt idx="26">
                  <c:v>0.2673775705092945</c:v>
                </c:pt>
                <c:pt idx="27">
                  <c:v>0.27766927165521904</c:v>
                </c:pt>
                <c:pt idx="28">
                  <c:v>0.28796156241594606</c:v>
                </c:pt>
                <c:pt idx="29">
                  <c:v>0.29825444256921907</c:v>
                </c:pt>
                <c:pt idx="30">
                  <c:v>0.30854791189177128</c:v>
                </c:pt>
                <c:pt idx="31">
                  <c:v>0.31884197015932414</c:v>
                </c:pt>
                <c:pt idx="32">
                  <c:v>0.32913661714658587</c:v>
                </c:pt>
                <c:pt idx="33">
                  <c:v>0.33943185262725084</c:v>
                </c:pt>
                <c:pt idx="34">
                  <c:v>0.34972767637399715</c:v>
                </c:pt>
                <c:pt idx="35">
                  <c:v>0.36002408815848641</c:v>
                </c:pt>
                <c:pt idx="36">
                  <c:v>0.37032108775136163</c:v>
                </c:pt>
                <c:pt idx="37">
                  <c:v>0.38061867492224633</c:v>
                </c:pt>
                <c:pt idx="38">
                  <c:v>0.39091684943974281</c:v>
                </c:pt>
                <c:pt idx="39">
                  <c:v>0.40121561107143155</c:v>
                </c:pt>
                <c:pt idx="40">
                  <c:v>0.41151495958386891</c:v>
                </c:pt>
                <c:pt idx="41">
                  <c:v>0.42181489474258671</c:v>
                </c:pt>
                <c:pt idx="42">
                  <c:v>0.43211541631209033</c:v>
                </c:pt>
                <c:pt idx="43">
                  <c:v>0.44241652405585746</c:v>
                </c:pt>
                <c:pt idx="44">
                  <c:v>0.45271821773633714</c:v>
                </c:pt>
                <c:pt idx="45">
                  <c:v>0.4630204971149478</c:v>
                </c:pt>
                <c:pt idx="46">
                  <c:v>0.47332336195207653</c:v>
                </c:pt>
                <c:pt idx="47">
                  <c:v>0.48362681200707758</c:v>
                </c:pt>
                <c:pt idx="48">
                  <c:v>0.49393084703827078</c:v>
                </c:pt>
                <c:pt idx="49">
                  <c:v>0.50423546680294029</c:v>
                </c:pt>
                <c:pt idx="50">
                  <c:v>0.51454067105733348</c:v>
                </c:pt>
                <c:pt idx="51">
                  <c:v>0.52484645955665965</c:v>
                </c:pt>
                <c:pt idx="52">
                  <c:v>0.53515283205508812</c:v>
                </c:pt>
                <c:pt idx="53">
                  <c:v>0.54545978830574748</c:v>
                </c:pt>
                <c:pt idx="54">
                  <c:v>0.55576732806072415</c:v>
                </c:pt>
                <c:pt idx="55">
                  <c:v>0.56607545107106072</c:v>
                </c:pt>
                <c:pt idx="56">
                  <c:v>0.57638415708675517</c:v>
                </c:pt>
                <c:pt idx="57">
                  <c:v>0.58669344585675864</c:v>
                </c:pt>
                <c:pt idx="58">
                  <c:v>0.59700331712897514</c:v>
                </c:pt>
                <c:pt idx="59">
                  <c:v>0.60731377065025982</c:v>
                </c:pt>
                <c:pt idx="60">
                  <c:v>0.61762480616641657</c:v>
                </c:pt>
                <c:pt idx="61">
                  <c:v>0.62793642342219891</c:v>
                </c:pt>
                <c:pt idx="62">
                  <c:v>0.63824862216130651</c:v>
                </c:pt>
                <c:pt idx="63">
                  <c:v>0.64856140212638458</c:v>
                </c:pt>
                <c:pt idx="64">
                  <c:v>0.65887476305902326</c:v>
                </c:pt>
                <c:pt idx="65">
                  <c:v>0.66918870469975555</c:v>
                </c:pt>
                <c:pt idx="66">
                  <c:v>0.6795032267880553</c:v>
                </c:pt>
                <c:pt idx="67">
                  <c:v>0.68981832906233742</c:v>
                </c:pt>
                <c:pt idx="68">
                  <c:v>0.70013401125995545</c:v>
                </c:pt>
                <c:pt idx="69">
                  <c:v>0.71045027311720055</c:v>
                </c:pt>
                <c:pt idx="70">
                  <c:v>0.72076711436929974</c:v>
                </c:pt>
                <c:pt idx="71">
                  <c:v>0.73108453475041546</c:v>
                </c:pt>
                <c:pt idx="72">
                  <c:v>0.7414025339936432</c:v>
                </c:pt>
                <c:pt idx="73">
                  <c:v>0.75172111183101065</c:v>
                </c:pt>
                <c:pt idx="74">
                  <c:v>0.76204026799347657</c:v>
                </c:pt>
                <c:pt idx="75">
                  <c:v>0.77236000221092871</c:v>
                </c:pt>
                <c:pt idx="76">
                  <c:v>0.7826803142121832</c:v>
                </c:pt>
                <c:pt idx="77">
                  <c:v>0.79300120372498295</c:v>
                </c:pt>
                <c:pt idx="78">
                  <c:v>0.80332267047599604</c:v>
                </c:pt>
                <c:pt idx="79">
                  <c:v>0.81364471419081441</c:v>
                </c:pt>
                <c:pt idx="80">
                  <c:v>0.82396733459395277</c:v>
                </c:pt>
                <c:pt idx="81">
                  <c:v>0.83429053140884757</c:v>
                </c:pt>
                <c:pt idx="82">
                  <c:v>0.84461430435785434</c:v>
                </c:pt>
                <c:pt idx="83">
                  <c:v>0.85493865316224793</c:v>
                </c:pt>
                <c:pt idx="84">
                  <c:v>0.8652635775422195</c:v>
                </c:pt>
                <c:pt idx="85">
                  <c:v>0.87558907721687718</c:v>
                </c:pt>
                <c:pt idx="86">
                  <c:v>0.88591515190424241</c:v>
                </c:pt>
                <c:pt idx="87">
                  <c:v>0.89624180132125053</c:v>
                </c:pt>
                <c:pt idx="88">
                  <c:v>0.90656902518374849</c:v>
                </c:pt>
                <c:pt idx="89">
                  <c:v>0.91689682320649313</c:v>
                </c:pt>
                <c:pt idx="90">
                  <c:v>0.92722519510315071</c:v>
                </c:pt>
                <c:pt idx="91">
                  <c:v>0.93755414058629494</c:v>
                </c:pt>
                <c:pt idx="92">
                  <c:v>0.94788365936740593</c:v>
                </c:pt>
                <c:pt idx="93">
                  <c:v>0.95821375115686869</c:v>
                </c:pt>
                <c:pt idx="94">
                  <c:v>0.96854441566397165</c:v>
                </c:pt>
                <c:pt idx="95">
                  <c:v>0.97887565259690512</c:v>
                </c:pt>
                <c:pt idx="96">
                  <c:v>0.98920746166276086</c:v>
                </c:pt>
                <c:pt idx="97">
                  <c:v>0.99953984256752937</c:v>
                </c:pt>
                <c:pt idx="98">
                  <c:v>1.0098727950160995</c:v>
                </c:pt>
                <c:pt idx="99">
                  <c:v>1.0202063187122565</c:v>
                </c:pt>
                <c:pt idx="100">
                  <c:v>1.0305404133586815</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Calculations'!$U$9:$U$109</c:f>
              <c:numCache>
                <c:formatCode>0.000</c:formatCode>
                <c:ptCount val="101"/>
                <c:pt idx="0">
                  <c:v>0.30004300006046886</c:v>
                </c:pt>
                <c:pt idx="1">
                  <c:v>0.30005575502474496</c:v>
                </c:pt>
                <c:pt idx="2">
                  <c:v>0.30009411036100964</c:v>
                </c:pt>
                <c:pt idx="3">
                  <c:v>0.30015806652953708</c:v>
                </c:pt>
                <c:pt idx="4">
                  <c:v>0.30024762429782509</c:v>
                </c:pt>
                <c:pt idx="5">
                  <c:v>0.30036278474061823</c:v>
                </c:pt>
                <c:pt idx="6">
                  <c:v>0.30050354923993966</c:v>
                </c:pt>
                <c:pt idx="7">
                  <c:v>0.30066991948513289</c:v>
                </c:pt>
                <c:pt idx="8">
                  <c:v>0.30086189747291237</c:v>
                </c:pt>
                <c:pt idx="9">
                  <c:v>0.30107948550742358</c:v>
                </c:pt>
                <c:pt idx="10">
                  <c:v>0.30132268620031188</c:v>
                </c:pt>
                <c:pt idx="11">
                  <c:v>0.30159150247080097</c:v>
                </c:pt>
                <c:pt idx="12">
                  <c:v>0.30188593754578075</c:v>
                </c:pt>
                <c:pt idx="13">
                  <c:v>0.3022059949599038</c:v>
                </c:pt>
                <c:pt idx="14">
                  <c:v>0.30255167855569182</c:v>
                </c:pt>
                <c:pt idx="15">
                  <c:v>0.30292299248365073</c:v>
                </c:pt>
                <c:pt idx="16">
                  <c:v>0.30331994120239536</c:v>
                </c:pt>
                <c:pt idx="17">
                  <c:v>0.3037425294787835</c:v>
                </c:pt>
                <c:pt idx="18">
                  <c:v>0.30419076238805881</c:v>
                </c:pt>
                <c:pt idx="19">
                  <c:v>0.30466464531400328</c:v>
                </c:pt>
                <c:pt idx="20">
                  <c:v>0.30516418394909928</c:v>
                </c:pt>
                <c:pt idx="21">
                  <c:v>0.30568938429470011</c:v>
                </c:pt>
                <c:pt idx="22">
                  <c:v>0.30624025266121069</c:v>
                </c:pt>
                <c:pt idx="23">
                  <c:v>0.30681679566827719</c:v>
                </c:pt>
                <c:pt idx="24">
                  <c:v>0.3074190202449858</c:v>
                </c:pt>
                <c:pt idx="25">
                  <c:v>0.30804693363007118</c:v>
                </c:pt>
                <c:pt idx="26">
                  <c:v>0.30870054337213443</c:v>
                </c:pt>
                <c:pt idx="27">
                  <c:v>0.30937985732986956</c:v>
                </c:pt>
                <c:pt idx="28">
                  <c:v>0.31008488367230042</c:v>
                </c:pt>
                <c:pt idx="29">
                  <c:v>0.31081563087902631</c:v>
                </c:pt>
                <c:pt idx="30">
                  <c:v>0.31157210774047717</c:v>
                </c:pt>
                <c:pt idx="31">
                  <c:v>0.31235432335817825</c:v>
                </c:pt>
                <c:pt idx="32">
                  <c:v>0.31316228714502453</c:v>
                </c:pt>
                <c:pt idx="33">
                  <c:v>0.31399600882556356</c:v>
                </c:pt>
                <c:pt idx="34">
                  <c:v>0.31485549843628902</c:v>
                </c:pt>
                <c:pt idx="35">
                  <c:v>0.315740766325943</c:v>
                </c:pt>
                <c:pt idx="36">
                  <c:v>0.31665182315582807</c:v>
                </c:pt>
                <c:pt idx="37">
                  <c:v>0.31758867990012868</c:v>
                </c:pt>
                <c:pt idx="38">
                  <c:v>0.31855134784624206</c:v>
                </c:pt>
                <c:pt idx="39">
                  <c:v>0.3195398385951192</c:v>
                </c:pt>
                <c:pt idx="40">
                  <c:v>0.32055416406161458</c:v>
                </c:pt>
                <c:pt idx="41">
                  <c:v>0.32159433647484625</c:v>
                </c:pt>
                <c:pt idx="42">
                  <c:v>0.32266036837856493</c:v>
                </c:pt>
                <c:pt idx="43">
                  <c:v>0.32375227263153317</c:v>
                </c:pt>
                <c:pt idx="44">
                  <c:v>0.32487006240791411</c:v>
                </c:pt>
                <c:pt idx="45">
                  <c:v>0.3260137511976694</c:v>
                </c:pt>
                <c:pt idx="46">
                  <c:v>0.3271833528069677</c:v>
                </c:pt>
                <c:pt idx="47">
                  <c:v>0.32837888135860227</c:v>
                </c:pt>
                <c:pt idx="48">
                  <c:v>0.32960035129241816</c:v>
                </c:pt>
                <c:pt idx="49">
                  <c:v>0.33084777736575011</c:v>
                </c:pt>
                <c:pt idx="50">
                  <c:v>0.33212117465386892</c:v>
                </c:pt>
                <c:pt idx="51">
                  <c:v>0.33342055855043901</c:v>
                </c:pt>
                <c:pt idx="52">
                  <c:v>0.33474594476798458</c:v>
                </c:pt>
                <c:pt idx="53">
                  <c:v>0.33609734933836655</c:v>
                </c:pt>
                <c:pt idx="54">
                  <c:v>0.33747478861326896</c:v>
                </c:pt>
                <c:pt idx="55">
                  <c:v>0.33887827926469566</c:v>
                </c:pt>
                <c:pt idx="56">
                  <c:v>0.34030783828547617</c:v>
                </c:pt>
                <c:pt idx="57">
                  <c:v>0.34176348298978254</c:v>
                </c:pt>
                <c:pt idx="58">
                  <c:v>0.34324523101365556</c:v>
                </c:pt>
                <c:pt idx="59">
                  <c:v>0.34475310031554118</c:v>
                </c:pt>
                <c:pt idx="60">
                  <c:v>0.34628710917683714</c:v>
                </c:pt>
                <c:pt idx="61">
                  <c:v>0.34784727620244954</c:v>
                </c:pt>
                <c:pt idx="62">
                  <c:v>0.34943362032135944</c:v>
                </c:pt>
                <c:pt idx="63">
                  <c:v>0.35104616078720002</c:v>
                </c:pt>
                <c:pt idx="64">
                  <c:v>0.35268491717884365</c:v>
                </c:pt>
                <c:pt idx="65">
                  <c:v>0.3543499094009992</c:v>
                </c:pt>
                <c:pt idx="66">
                  <c:v>0.35604115768481975</c:v>
                </c:pt>
                <c:pt idx="67">
                  <c:v>0.35775868258852056</c:v>
                </c:pt>
                <c:pt idx="68">
                  <c:v>0.35950250499800723</c:v>
                </c:pt>
                <c:pt idx="69">
                  <c:v>0.36127264612751442</c:v>
                </c:pt>
                <c:pt idx="70">
                  <c:v>0.36306912752025522</c:v>
                </c:pt>
                <c:pt idx="71">
                  <c:v>0.36489197104908005</c:v>
                </c:pt>
                <c:pt idx="72">
                  <c:v>0.36674119891714746</c:v>
                </c:pt>
                <c:pt idx="73">
                  <c:v>0.36861683365860398</c:v>
                </c:pt>
                <c:pt idx="74">
                  <c:v>0.3705188981392758</c:v>
                </c:pt>
                <c:pt idx="75">
                  <c:v>0.37244741555737015</c:v>
                </c:pt>
                <c:pt idx="76">
                  <c:v>0.37440240944418768</c:v>
                </c:pt>
                <c:pt idx="77">
                  <c:v>0.37638390366484581</c:v>
                </c:pt>
                <c:pt idx="78">
                  <c:v>0.37839192241901226</c:v>
                </c:pt>
                <c:pt idx="79">
                  <c:v>0.38042649024164971</c:v>
                </c:pt>
                <c:pt idx="80">
                  <c:v>0.38248763200377112</c:v>
                </c:pt>
                <c:pt idx="81">
                  <c:v>0.38457537291320615</c:v>
                </c:pt>
                <c:pt idx="82">
                  <c:v>0.38668973851537802</c:v>
                </c:pt>
                <c:pt idx="83">
                  <c:v>0.3888307546940919</c:v>
                </c:pt>
                <c:pt idx="84">
                  <c:v>0.39099844767233388</c:v>
                </c:pt>
                <c:pt idx="85">
                  <c:v>0.39319284401308113</c:v>
                </c:pt>
                <c:pt idx="86">
                  <c:v>0.3954139706201229</c:v>
                </c:pt>
                <c:pt idx="87">
                  <c:v>0.39766185473889326</c:v>
                </c:pt>
                <c:pt idx="88">
                  <c:v>0.39993652395731455</c:v>
                </c:pt>
                <c:pt idx="89">
                  <c:v>0.40223800620665168</c:v>
                </c:pt>
                <c:pt idx="90">
                  <c:v>0.40456632976237905</c:v>
                </c:pt>
                <c:pt idx="91">
                  <c:v>0.40692152324505709</c:v>
                </c:pt>
                <c:pt idx="92">
                  <c:v>0.40930361562122175</c:v>
                </c:pt>
                <c:pt idx="93">
                  <c:v>0.41171263620428417</c:v>
                </c:pt>
                <c:pt idx="94">
                  <c:v>0.41414861465544273</c:v>
                </c:pt>
                <c:pt idx="95">
                  <c:v>0.41661158098460616</c:v>
                </c:pt>
                <c:pt idx="96">
                  <c:v>0.41910156555132855</c:v>
                </c:pt>
                <c:pt idx="97">
                  <c:v>0.42161859906575555</c:v>
                </c:pt>
                <c:pt idx="98">
                  <c:v>0.4241627125895831</c:v>
                </c:pt>
                <c:pt idx="99">
                  <c:v>0.42673393753702671</c:v>
                </c:pt>
                <c:pt idx="100">
                  <c:v>0.42933230567580399</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'Ch2 Efficiency Calculations'!$AV$9:$AV$109</c:f>
              <c:numCache>
                <c:formatCode>0.0%</c:formatCode>
                <c:ptCount val="101"/>
                <c:pt idx="0">
                  <c:v>0</c:v>
                </c:pt>
                <c:pt idx="1">
                  <c:v>0.43992091327175753</c:v>
                </c:pt>
                <c:pt idx="2">
                  <c:v>0.60528671003550349</c:v>
                </c:pt>
                <c:pt idx="3">
                  <c:v>0.69211097811904598</c:v>
                </c:pt>
                <c:pt idx="4">
                  <c:v>0.74527412861220022</c:v>
                </c:pt>
                <c:pt idx="5">
                  <c:v>0.78120649239619933</c:v>
                </c:pt>
                <c:pt idx="6">
                  <c:v>0.8071417926596991</c:v>
                </c:pt>
                <c:pt idx="7">
                  <c:v>0.82673932427497243</c:v>
                </c:pt>
                <c:pt idx="8">
                  <c:v>0.84206667162548043</c:v>
                </c:pt>
                <c:pt idx="9">
                  <c:v>0.85438027404157235</c:v>
                </c:pt>
                <c:pt idx="10">
                  <c:v>0.8644876773459611</c:v>
                </c:pt>
                <c:pt idx="11">
                  <c:v>0.87293156873413291</c:v>
                </c:pt>
                <c:pt idx="12">
                  <c:v>0.88009013332613262</c:v>
                </c:pt>
                <c:pt idx="13">
                  <c:v>0.88623499423833108</c:v>
                </c:pt>
                <c:pt idx="14">
                  <c:v>0.89156627537506883</c:v>
                </c:pt>
                <c:pt idx="15">
                  <c:v>0.89623467469861251</c:v>
                </c:pt>
                <c:pt idx="16">
                  <c:v>0.90035583567689437</c:v>
                </c:pt>
                <c:pt idx="17">
                  <c:v>0.90401997981887783</c:v>
                </c:pt>
                <c:pt idx="18">
                  <c:v>0.90729852839673419</c:v>
                </c:pt>
                <c:pt idx="19">
                  <c:v>0.91024875691872043</c:v>
                </c:pt>
                <c:pt idx="20">
                  <c:v>0.91291713204242897</c:v>
                </c:pt>
                <c:pt idx="21">
                  <c:v>0.91534174645223143</c:v>
                </c:pt>
                <c:pt idx="22">
                  <c:v>0.91755412391522251</c:v>
                </c:pt>
                <c:pt idx="23">
                  <c:v>0.91958057672644411</c:v>
                </c:pt>
                <c:pt idx="24">
                  <c:v>0.9214432399000323</c:v>
                </c:pt>
                <c:pt idx="25">
                  <c:v>0.92316086848545309</c:v>
                </c:pt>
                <c:pt idx="26">
                  <c:v>0.92474945897852034</c:v>
                </c:pt>
                <c:pt idx="27">
                  <c:v>0.92622273849798564</c:v>
                </c:pt>
                <c:pt idx="28">
                  <c:v>0.92759255343220859</c:v>
                </c:pt>
                <c:pt idx="29">
                  <c:v>0.92886918086072345</c:v>
                </c:pt>
                <c:pt idx="30">
                  <c:v>0.93006158007913164</c:v>
                </c:pt>
                <c:pt idx="31">
                  <c:v>0.93117759725000637</c:v>
                </c:pt>
                <c:pt idx="32">
                  <c:v>0.93222413306410123</c:v>
                </c:pt>
                <c:pt idx="33">
                  <c:v>0.93320728098376793</c:v>
                </c:pt>
                <c:pt idx="34">
                  <c:v>0.93413244191939515</c:v>
                </c:pt>
                <c:pt idx="35">
                  <c:v>0.93500441989653871</c:v>
                </c:pt>
                <c:pt idx="36">
                  <c:v>0.93582750229115774</c:v>
                </c:pt>
                <c:pt idx="37">
                  <c:v>0.93660552746109871</c:v>
                </c:pt>
                <c:pt idx="38">
                  <c:v>0.93734194202473131</c:v>
                </c:pt>
                <c:pt idx="39">
                  <c:v>0.93803984958965603</c:v>
                </c:pt>
                <c:pt idx="40">
                  <c:v>0.93870205238428761</c:v>
                </c:pt>
                <c:pt idx="41">
                  <c:v>0.93933108696967671</c:v>
                </c:pt>
                <c:pt idx="42">
                  <c:v>0.93992925499088076</c:v>
                </c:pt>
                <c:pt idx="43">
                  <c:v>0.94049864975355146</c:v>
                </c:pt>
                <c:pt idx="44">
                  <c:v>0.94104117927233233</c:v>
                </c:pt>
                <c:pt idx="45">
                  <c:v>0.94155858632569012</c:v>
                </c:pt>
                <c:pt idx="46">
                  <c:v>0.94205246596117886</c:v>
                </c:pt>
                <c:pt idx="47">
                  <c:v>0.94252428082143835</c:v>
                </c:pt>
                <c:pt idx="48">
                  <c:v>0.94297537460101022</c:v>
                </c:pt>
                <c:pt idx="49">
                  <c:v>0.94340698389463507</c:v>
                </c:pt>
                <c:pt idx="50">
                  <c:v>0.94382024865696657</c:v>
                </c:pt>
                <c:pt idx="51">
                  <c:v>0.94421622145992035</c:v>
                </c:pt>
                <c:pt idx="52">
                  <c:v>0.94459587570588155</c:v>
                </c:pt>
                <c:pt idx="53">
                  <c:v>0.94496011293162874</c:v>
                </c:pt>
                <c:pt idx="54">
                  <c:v>0.94530976931829336</c:v>
                </c:pt>
                <c:pt idx="55">
                  <c:v>0.94564562150625331</c:v>
                </c:pt>
                <c:pt idx="56">
                  <c:v>0.94596839180002679</c:v>
                </c:pt>
                <c:pt idx="57">
                  <c:v>0.94627875283654117</c:v>
                </c:pt>
                <c:pt idx="58">
                  <c:v>0.94657733178023096</c:v>
                </c:pt>
                <c:pt idx="59">
                  <c:v>0.9468647140999904</c:v>
                </c:pt>
                <c:pt idx="60">
                  <c:v>0.94714144697581004</c:v>
                </c:pt>
                <c:pt idx="61">
                  <c:v>0.94740804237677689</c:v>
                </c:pt>
                <c:pt idx="62">
                  <c:v>0.94766497984683717</c:v>
                </c:pt>
                <c:pt idx="63">
                  <c:v>0.94791270903019098</c:v>
                </c:pt>
                <c:pt idx="64">
                  <c:v>0.94815165196427298</c:v>
                </c:pt>
                <c:pt idx="65">
                  <c:v>0.94838220516489335</c:v>
                </c:pt>
                <c:pt idx="66">
                  <c:v>0.94860474152519692</c:v>
                </c:pt>
                <c:pt idx="67">
                  <c:v>0.94881961204754295</c:v>
                </c:pt>
                <c:pt idx="68">
                  <c:v>0.94902714742521499</c:v>
                </c:pt>
                <c:pt idx="69">
                  <c:v>0.9492276594889304</c:v>
                </c:pt>
                <c:pt idx="70">
                  <c:v>0.94942144253144656</c:v>
                </c:pt>
                <c:pt idx="71">
                  <c:v>0.94960877452208048</c:v>
                </c:pt>
                <c:pt idx="72">
                  <c:v>0.94978991822167058</c:v>
                </c:pt>
                <c:pt idx="73">
                  <c:v>0.94996512220737528</c:v>
                </c:pt>
                <c:pt idx="74">
                  <c:v>0.95013462181569797</c:v>
                </c:pt>
                <c:pt idx="75">
                  <c:v>0.95029864001125397</c:v>
                </c:pt>
                <c:pt idx="76">
                  <c:v>0.95045738818801229</c:v>
                </c:pt>
                <c:pt idx="77">
                  <c:v>0.95061106690905606</c:v>
                </c:pt>
                <c:pt idx="78">
                  <c:v>0.95075986659029688</c:v>
                </c:pt>
                <c:pt idx="79">
                  <c:v>0.95090396813303357</c:v>
                </c:pt>
                <c:pt idx="80">
                  <c:v>0.95104354350976805</c:v>
                </c:pt>
                <c:pt idx="81">
                  <c:v>0.95117875630725723</c:v>
                </c:pt>
                <c:pt idx="82">
                  <c:v>0.95130976223039876</c:v>
                </c:pt>
                <c:pt idx="83">
                  <c:v>0.95143670957020821</c:v>
                </c:pt>
                <c:pt idx="84">
                  <c:v>0.95155973963883766</c:v>
                </c:pt>
                <c:pt idx="85">
                  <c:v>0.95167898717431021</c:v>
                </c:pt>
                <c:pt idx="86">
                  <c:v>0.95179458071740619</c:v>
                </c:pt>
                <c:pt idx="87">
                  <c:v>0.95190664296290617</c:v>
                </c:pt>
                <c:pt idx="88">
                  <c:v>0.95201529108720651</c:v>
                </c:pt>
                <c:pt idx="89">
                  <c:v>0.95212063705413996</c:v>
                </c:pt>
                <c:pt idx="90">
                  <c:v>0.95222278790067483</c:v>
                </c:pt>
                <c:pt idx="91">
                  <c:v>0.95232184600401903</c:v>
                </c:pt>
                <c:pt idx="92">
                  <c:v>0.95241790933152892</c:v>
                </c:pt>
                <c:pt idx="93">
                  <c:v>0.95251107167469506</c:v>
                </c:pt>
                <c:pt idx="94">
                  <c:v>0.95260142286838323</c:v>
                </c:pt>
                <c:pt idx="95">
                  <c:v>0.95268904899639628</c:v>
                </c:pt>
                <c:pt idx="96">
                  <c:v>0.95277403258434734</c:v>
                </c:pt>
                <c:pt idx="97">
                  <c:v>0.95285645278074649</c:v>
                </c:pt>
                <c:pt idx="98">
                  <c:v>0.95293638552713211</c:v>
                </c:pt>
                <c:pt idx="99">
                  <c:v>0.95301390371801475</c:v>
                </c:pt>
                <c:pt idx="100">
                  <c:v>0.95308907735133519</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Calculations'!$AZ$9:$AZ$109</c:f>
              <c:numCache>
                <c:formatCode>0.00</c:formatCode>
                <c:ptCount val="101"/>
                <c:pt idx="0">
                  <c:v>0</c:v>
                </c:pt>
                <c:pt idx="1">
                  <c:v>43.992267009544697</c:v>
                </c:pt>
                <c:pt idx="2">
                  <c:v>60.528945273468615</c:v>
                </c:pt>
                <c:pt idx="3">
                  <c:v>69.211495037880141</c:v>
                </c:pt>
                <c:pt idx="4">
                  <c:v>74.527985699113344</c:v>
                </c:pt>
                <c:pt idx="5">
                  <c:v>78.121386173821406</c:v>
                </c:pt>
                <c:pt idx="6">
                  <c:v>80.715088210100504</c:v>
                </c:pt>
                <c:pt idx="7">
                  <c:v>82.67501864869196</c:v>
                </c:pt>
                <c:pt idx="8">
                  <c:v>84.207934257851406</c:v>
                </c:pt>
                <c:pt idx="9">
                  <c:v>85.439477874560012</c:v>
                </c:pt>
                <c:pt idx="10">
                  <c:v>86.450403335017995</c:v>
                </c:pt>
                <c:pt idx="11">
                  <c:v>87.294978834260988</c:v>
                </c:pt>
                <c:pt idx="12">
                  <c:v>88.011022504972502</c:v>
                </c:pt>
                <c:pt idx="13">
                  <c:v>88.62569637758611</c:v>
                </c:pt>
                <c:pt idx="14">
                  <c:v>89.159012629458076</c:v>
                </c:pt>
                <c:pt idx="15">
                  <c:v>89.626040892181052</c:v>
                </c:pt>
                <c:pt idx="16">
                  <c:v>90.038345383095447</c:v>
                </c:pt>
                <c:pt idx="17">
                  <c:v>90.40494814967677</c:v>
                </c:pt>
                <c:pt idx="18">
                  <c:v>90.732991235306571</c:v>
                </c:pt>
                <c:pt idx="19">
                  <c:v>91.028202121931443</c:v>
                </c:pt>
                <c:pt idx="20">
                  <c:v>91.295227418007201</c:v>
                </c:pt>
                <c:pt idx="21">
                  <c:v>91.537876343735519</c:v>
                </c:pt>
                <c:pt idx="22">
                  <c:v>91.759301234772067</c:v>
                </c:pt>
                <c:pt idx="23">
                  <c:v>91.962133285311637</c:v>
                </c:pt>
                <c:pt idx="24">
                  <c:v>92.14858596609497</c:v>
                </c:pt>
                <c:pt idx="25">
                  <c:v>92.320534755168921</c:v>
                </c:pt>
                <c:pt idx="26">
                  <c:v>92.479579278308805</c:v>
                </c:pt>
                <c:pt idx="27">
                  <c:v>92.627092226137577</c:v>
                </c:pt>
                <c:pt idx="28">
                  <c:v>92.764258218360581</c:v>
                </c:pt>
                <c:pt idx="29">
                  <c:v>92.892104945572854</c:v>
                </c:pt>
                <c:pt idx="30">
                  <c:v>93.011528321464482</c:v>
                </c:pt>
                <c:pt idx="31">
                  <c:v>93.123312947678244</c:v>
                </c:pt>
                <c:pt idx="32">
                  <c:v>93.228148879738583</c:v>
                </c:pt>
                <c:pt idx="33">
                  <c:v>93.326645451234157</c:v>
                </c:pt>
                <c:pt idx="34">
                  <c:v>93.419342741328805</c:v>
                </c:pt>
                <c:pt idx="35">
                  <c:v>93.506721141363172</c:v>
                </c:pt>
                <c:pt idx="36">
                  <c:v>93.589209378284124</c:v>
                </c:pt>
                <c:pt idx="37">
                  <c:v>93.667191277713556</c:v>
                </c:pt>
                <c:pt idx="38">
                  <c:v>93.741011491743961</c:v>
                </c:pt>
                <c:pt idx="39">
                  <c:v>93.810980371751157</c:v>
                </c:pt>
                <c:pt idx="40">
                  <c:v>93.877378131502638</c:v>
                </c:pt>
                <c:pt idx="41">
                  <c:v>93.940458418296728</c:v>
                </c:pt>
                <c:pt idx="42">
                  <c:v>94.000451388062274</c:v>
                </c:pt>
                <c:pt idx="43">
                  <c:v>94.057566362984929</c:v>
                </c:pt>
                <c:pt idx="44">
                  <c:v>94.111994136318572</c:v>
                </c:pt>
                <c:pt idx="45">
                  <c:v>94.16390897784359</c:v>
                </c:pt>
                <c:pt idx="46">
                  <c:v>94.21347038437149</c:v>
                </c:pt>
                <c:pt idx="47">
                  <c:v>94.260824612325351</c:v>
                </c:pt>
                <c:pt idx="48">
                  <c:v>94.306106023404425</c:v>
                </c:pt>
                <c:pt idx="49">
                  <c:v>94.349438269398732</c:v>
                </c:pt>
                <c:pt idx="50">
                  <c:v>94.390935338146747</c:v>
                </c:pt>
                <c:pt idx="51">
                  <c:v>94.430702479258429</c:v>
                </c:pt>
                <c:pt idx="52">
                  <c:v>94.468837025424861</c:v>
                </c:pt>
                <c:pt idx="53">
                  <c:v>94.505429122801104</c:v>
                </c:pt>
                <c:pt idx="54">
                  <c:v>94.54056238199307</c:v>
                </c:pt>
                <c:pt idx="55">
                  <c:v>94.574314459539067</c:v>
                </c:pt>
                <c:pt idx="56">
                  <c:v>94.606757578391736</c:v>
                </c:pt>
                <c:pt idx="57">
                  <c:v>94.637958994738369</c:v>
                </c:pt>
                <c:pt idx="58">
                  <c:v>94.667981417504677</c:v>
                </c:pt>
                <c:pt idx="59">
                  <c:v>94.696883386044334</c:v>
                </c:pt>
                <c:pt idx="60">
                  <c:v>94.724719610797592</c:v>
                </c:pt>
                <c:pt idx="61">
                  <c:v>94.751541281086446</c:v>
                </c:pt>
                <c:pt idx="62">
                  <c:v>94.777396343686632</c:v>
                </c:pt>
                <c:pt idx="63">
                  <c:v>94.802329755362848</c:v>
                </c:pt>
                <c:pt idx="64">
                  <c:v>94.826383712163064</c:v>
                </c:pt>
                <c:pt idx="65">
                  <c:v>94.849597857929055</c:v>
                </c:pt>
                <c:pt idx="66">
                  <c:v>94.872009474188815</c:v>
                </c:pt>
                <c:pt idx="67">
                  <c:v>94.893653653341531</c:v>
                </c:pt>
                <c:pt idx="68">
                  <c:v>94.914563456825448</c:v>
                </c:pt>
                <c:pt idx="69">
                  <c:v>94.934770059765995</c:v>
                </c:pt>
                <c:pt idx="70">
                  <c:v>94.954302883433655</c:v>
                </c:pt>
                <c:pt idx="71">
                  <c:v>94.973189716693454</c:v>
                </c:pt>
                <c:pt idx="72">
                  <c:v>94.991456827498538</c:v>
                </c:pt>
                <c:pt idx="73">
                  <c:v>95.009129065367659</c:v>
                </c:pt>
                <c:pt idx="74">
                  <c:v>95.026229955685466</c:v>
                </c:pt>
                <c:pt idx="75">
                  <c:v>95.042781786576896</c:v>
                </c:pt>
                <c:pt idx="76">
                  <c:v>95.058805689029299</c:v>
                </c:pt>
                <c:pt idx="77">
                  <c:v>95.074321710866272</c:v>
                </c:pt>
                <c:pt idx="78">
                  <c:v>95.089348885117147</c:v>
                </c:pt>
                <c:pt idx="79">
                  <c:v>95.103905293270856</c:v>
                </c:pt>
                <c:pt idx="80">
                  <c:v>95.11800812385566</c:v>
                </c:pt>
                <c:pt idx="81">
                  <c:v>95.131673726742349</c:v>
                </c:pt>
                <c:pt idx="82">
                  <c:v>95.144917663530975</c:v>
                </c:pt>
                <c:pt idx="83">
                  <c:v>95.15775475434674</c:v>
                </c:pt>
                <c:pt idx="84">
                  <c:v>95.17019912134009</c:v>
                </c:pt>
                <c:pt idx="85">
                  <c:v>95.182264229158349</c:v>
                </c:pt>
                <c:pt idx="86">
                  <c:v>95.193962922632551</c:v>
                </c:pt>
                <c:pt idx="87">
                  <c:v>95.205307461899991</c:v>
                </c:pt>
                <c:pt idx="88">
                  <c:v>95.216309555164074</c:v>
                </c:pt>
                <c:pt idx="89">
                  <c:v>95.226980389274601</c:v>
                </c:pt>
                <c:pt idx="90">
                  <c:v>95.237330658296059</c:v>
                </c:pt>
                <c:pt idx="91">
                  <c:v>95.247370590216192</c:v>
                </c:pt>
                <c:pt idx="92">
                  <c:v>95.257109971935222</c:v>
                </c:pt>
                <c:pt idx="93">
                  <c:v>95.266558172662755</c:v>
                </c:pt>
                <c:pt idx="94">
                  <c:v>95.27572416584006</c:v>
                </c:pt>
                <c:pt idx="95">
                  <c:v>95.284616549694718</c:v>
                </c:pt>
                <c:pt idx="96">
                  <c:v>95.293243566526044</c:v>
                </c:pt>
                <c:pt idx="97">
                  <c:v>95.301613120812164</c:v>
                </c:pt>
                <c:pt idx="98">
                  <c:v>95.309732796221326</c:v>
                </c:pt>
                <c:pt idx="99">
                  <c:v>95.317609871604674</c:v>
                </c:pt>
                <c:pt idx="100">
                  <c:v>95.325251336040182</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Calculations'!$BC$9:$BC$109</c:f>
              <c:numCache>
                <c:formatCode>0.000</c:formatCode>
                <c:ptCount val="101"/>
                <c:pt idx="0">
                  <c:v>0.60737526200749936</c:v>
                </c:pt>
                <c:pt idx="1">
                  <c:v>0.62766740039415214</c:v>
                </c:pt>
                <c:pt idx="2">
                  <c:v>0.64717651297981915</c:v>
                </c:pt>
                <c:pt idx="3">
                  <c:v>0.66590263119386295</c:v>
                </c:pt>
                <c:pt idx="4">
                  <c:v>0.6860081234818417</c:v>
                </c:pt>
                <c:pt idx="5">
                  <c:v>0.70651903073369959</c:v>
                </c:pt>
                <c:pt idx="6">
                  <c:v>0.72706230882780476</c:v>
                </c:pt>
                <c:pt idx="7">
                  <c:v>0.74763803032167986</c:v>
                </c:pt>
                <c:pt idx="8">
                  <c:v>0.76824626890260073</c:v>
                </c:pt>
                <c:pt idx="9">
                  <c:v>0.78888709939215862</c:v>
                </c:pt>
                <c:pt idx="10">
                  <c:v>0.80956059775092282</c:v>
                </c:pt>
                <c:pt idx="11">
                  <c:v>0.83026684108320226</c:v>
                </c:pt>
                <c:pt idx="12">
                  <c:v>0.85100590764190853</c:v>
                </c:pt>
                <c:pt idx="13">
                  <c:v>0.87177787683351737</c:v>
                </c:pt>
                <c:pt idx="14">
                  <c:v>0.89258282922313481</c:v>
                </c:pt>
                <c:pt idx="15">
                  <c:v>0.9134208465396626</c:v>
                </c:pt>
                <c:pt idx="16">
                  <c:v>0.93429201168106935</c:v>
                </c:pt>
                <c:pt idx="17">
                  <c:v>0.95519640871976297</c:v>
                </c:pt>
                <c:pt idx="18">
                  <c:v>0.97613412290806867</c:v>
                </c:pt>
                <c:pt idx="19">
                  <c:v>0.99710524068381168</c:v>
                </c:pt>
                <c:pt idx="20">
                  <c:v>1.0181098496760064</c:v>
                </c:pt>
                <c:pt idx="21">
                  <c:v>1.0391480387106515</c:v>
                </c:pt>
                <c:pt idx="22">
                  <c:v>1.0602198978166326</c:v>
                </c:pt>
                <c:pt idx="23">
                  <c:v>1.081325518231733</c:v>
                </c:pt>
                <c:pt idx="24">
                  <c:v>1.1024649924087548</c:v>
                </c:pt>
                <c:pt idx="25">
                  <c:v>1.1236384140217477</c:v>
                </c:pt>
                <c:pt idx="26">
                  <c:v>1.1448458779723505</c:v>
                </c:pt>
                <c:pt idx="27">
                  <c:v>1.1660874803962435</c:v>
                </c:pt>
                <c:pt idx="28">
                  <c:v>1.1873633186697137</c:v>
                </c:pt>
                <c:pt idx="29">
                  <c:v>1.2086734914163322</c:v>
                </c:pt>
                <c:pt idx="30">
                  <c:v>1.2300180985137499</c:v>
                </c:pt>
                <c:pt idx="31">
                  <c:v>1.2513972411006025</c:v>
                </c:pt>
                <c:pt idx="32">
                  <c:v>1.2728110215835375</c:v>
                </c:pt>
                <c:pt idx="33">
                  <c:v>1.2942595436443569</c:v>
                </c:pt>
                <c:pt idx="34">
                  <c:v>1.3157429122472761</c:v>
                </c:pt>
                <c:pt idx="35">
                  <c:v>1.3372612336463048</c:v>
                </c:pt>
                <c:pt idx="36">
                  <c:v>1.3588146153927485</c:v>
                </c:pt>
                <c:pt idx="37">
                  <c:v>1.3804031663428298</c:v>
                </c:pt>
                <c:pt idx="38">
                  <c:v>1.4020269966654333</c:v>
                </c:pt>
                <c:pt idx="39">
                  <c:v>1.4236862178499761</c:v>
                </c:pt>
                <c:pt idx="40">
                  <c:v>1.4453809427143995</c:v>
                </c:pt>
                <c:pt idx="41">
                  <c:v>1.4671112854132917</c:v>
                </c:pt>
                <c:pt idx="42">
                  <c:v>1.4888773614461324</c:v>
                </c:pt>
                <c:pt idx="43">
                  <c:v>1.5106792876656718</c:v>
                </c:pt>
                <c:pt idx="44">
                  <c:v>1.5325171822864347</c:v>
                </c:pt>
                <c:pt idx="45">
                  <c:v>1.5543911648933584</c:v>
                </c:pt>
                <c:pt idx="46">
                  <c:v>1.5763013564505628</c:v>
                </c:pt>
                <c:pt idx="47">
                  <c:v>1.5982478793102524</c:v>
                </c:pt>
                <c:pt idx="48">
                  <c:v>1.6202308572217559</c:v>
                </c:pt>
                <c:pt idx="49">
                  <c:v>1.6422504153406998</c:v>
                </c:pt>
                <c:pt idx="50">
                  <c:v>1.6643066802383233</c:v>
                </c:pt>
                <c:pt idx="51">
                  <c:v>1.6863997799109272</c:v>
                </c:pt>
                <c:pt idx="52">
                  <c:v>1.7085298437894685</c:v>
                </c:pt>
                <c:pt idx="53">
                  <c:v>1.7306970027492952</c:v>
                </c:pt>
                <c:pt idx="54">
                  <c:v>1.7529013891200236</c:v>
                </c:pt>
                <c:pt idx="55">
                  <c:v>1.7751431366955623</c:v>
                </c:pt>
                <c:pt idx="56">
                  <c:v>1.7974223807442837</c:v>
                </c:pt>
                <c:pt idx="57">
                  <c:v>1.8197392580193399</c:v>
                </c:pt>
                <c:pt idx="58">
                  <c:v>1.8420939067691342</c:v>
                </c:pt>
                <c:pt idx="59">
                  <c:v>1.8644864667479402</c:v>
                </c:pt>
                <c:pt idx="60">
                  <c:v>1.8869170792266714</c:v>
                </c:pt>
                <c:pt idx="61">
                  <c:v>1.909385887003817</c:v>
                </c:pt>
                <c:pt idx="62">
                  <c:v>1.9318930344165191</c:v>
                </c:pt>
                <c:pt idx="63">
                  <c:v>1.9544386673518193</c:v>
                </c:pt>
                <c:pt idx="64">
                  <c:v>1.9770229332580622</c:v>
                </c:pt>
                <c:pt idx="65">
                  <c:v>1.9996459811564602</c:v>
                </c:pt>
                <c:pt idx="66">
                  <c:v>2.0223079616528206</c:v>
                </c:pt>
                <c:pt idx="67">
                  <c:v>2.045009026949443</c:v>
                </c:pt>
                <c:pt idx="68">
                  <c:v>2.0677493308571813</c:v>
                </c:pt>
                <c:pt idx="69">
                  <c:v>2.0905290288076732</c:v>
                </c:pt>
                <c:pt idx="70">
                  <c:v>2.1133482778657466</c:v>
                </c:pt>
                <c:pt idx="71">
                  <c:v>2.1362072367419942</c:v>
                </c:pt>
                <c:pt idx="72">
                  <c:v>2.1591060658055272</c:v>
                </c:pt>
                <c:pt idx="73">
                  <c:v>2.1820449270969053</c:v>
                </c:pt>
                <c:pt idx="74">
                  <c:v>2.2050239843412474</c:v>
                </c:pt>
                <c:pt idx="75">
                  <c:v>2.2280434029615215</c:v>
                </c:pt>
                <c:pt idx="76">
                  <c:v>2.2511033500920212</c:v>
                </c:pt>
                <c:pt idx="77">
                  <c:v>2.2742039945920327</c:v>
                </c:pt>
                <c:pt idx="78">
                  <c:v>2.2973455070596787</c:v>
                </c:pt>
                <c:pt idx="79">
                  <c:v>2.320528059845965</c:v>
                </c:pt>
                <c:pt idx="80">
                  <c:v>2.3437518270690143</c:v>
                </c:pt>
                <c:pt idx="81">
                  <c:v>2.367016984628501</c:v>
                </c:pt>
                <c:pt idx="82">
                  <c:v>2.3903237102202723</c:v>
                </c:pt>
                <c:pt idx="83">
                  <c:v>2.4136721833511876</c:v>
                </c:pt>
                <c:pt idx="84">
                  <c:v>2.4370625853541421</c:v>
                </c:pt>
                <c:pt idx="85">
                  <c:v>2.4604950994033157</c:v>
                </c:pt>
                <c:pt idx="86">
                  <c:v>2.4839699105296087</c:v>
                </c:pt>
                <c:pt idx="87">
                  <c:v>2.5074872056363091</c:v>
                </c:pt>
                <c:pt idx="88">
                  <c:v>2.5310471735149598</c:v>
                </c:pt>
                <c:pt idx="89">
                  <c:v>2.5546500048614451</c:v>
                </c:pt>
                <c:pt idx="90">
                  <c:v>2.5782958922922998</c:v>
                </c:pt>
                <c:pt idx="91">
                  <c:v>2.6019850303612397</c:v>
                </c:pt>
                <c:pt idx="92">
                  <c:v>2.6257176155759119</c:v>
                </c:pt>
                <c:pt idx="93">
                  <c:v>2.6494938464148792</c:v>
                </c:pt>
                <c:pt idx="94">
                  <c:v>2.6733139233448293</c:v>
                </c:pt>
                <c:pt idx="95">
                  <c:v>2.6971780488380261</c:v>
                </c:pt>
                <c:pt idx="96">
                  <c:v>2.721086427389988</c:v>
                </c:pt>
                <c:pt idx="97">
                  <c:v>2.7450392655374136</c:v>
                </c:pt>
                <c:pt idx="98">
                  <c:v>2.7690367718763489</c:v>
                </c:pt>
                <c:pt idx="99">
                  <c:v>2.7930791570805971</c:v>
                </c:pt>
                <c:pt idx="100">
                  <c:v>2.8171666339203854</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Calculations'!$BA$9:$BA$109</c:f>
              <c:numCache>
                <c:formatCode>0.000</c:formatCode>
                <c:ptCount val="101"/>
                <c:pt idx="0">
                  <c:v>0.30003440002526249</c:v>
                </c:pt>
                <c:pt idx="1">
                  <c:v>0.30004460741932182</c:v>
                </c:pt>
                <c:pt idx="2">
                  <c:v>0.30007529505163077</c:v>
                </c:pt>
                <c:pt idx="3">
                  <c:v>0.30012646321679637</c:v>
                </c:pt>
                <c:pt idx="4">
                  <c:v>0.30019811240604588</c:v>
                </c:pt>
                <c:pt idx="5">
                  <c:v>0.30029024330723819</c:v>
                </c:pt>
                <c:pt idx="6">
                  <c:v>0.3004028568048806</c:v>
                </c:pt>
                <c:pt idx="7">
                  <c:v>0.30053595398015021</c:v>
                </c:pt>
                <c:pt idx="8">
                  <c:v>0.30068953611091931</c:v>
                </c:pt>
                <c:pt idx="9">
                  <c:v>0.3008636046717868</c:v>
                </c:pt>
                <c:pt idx="10">
                  <c:v>0.30105816133411284</c:v>
                </c:pt>
                <c:pt idx="11">
                  <c:v>0.3012732079660595</c:v>
                </c:pt>
                <c:pt idx="12">
                  <c:v>0.30150874663263544</c:v>
                </c:pt>
                <c:pt idx="13">
                  <c:v>0.30176477959574532</c:v>
                </c:pt>
                <c:pt idx="14">
                  <c:v>0.3020413093142445</c:v>
                </c:pt>
                <c:pt idx="15">
                  <c:v>0.30233833844399782</c:v>
                </c:pt>
                <c:pt idx="16">
                  <c:v>0.30265586983794324</c:v>
                </c:pt>
                <c:pt idx="17">
                  <c:v>0.30299390654616071</c:v>
                </c:pt>
                <c:pt idx="18">
                  <c:v>0.30335245181594522</c:v>
                </c:pt>
                <c:pt idx="19">
                  <c:v>0.30373150909188484</c:v>
                </c:pt>
                <c:pt idx="20">
                  <c:v>0.30413108201594352</c:v>
                </c:pt>
                <c:pt idx="21">
                  <c:v>0.30455117442754859</c:v>
                </c:pt>
                <c:pt idx="22">
                  <c:v>0.30499179036368301</c:v>
                </c:pt>
                <c:pt idx="23">
                  <c:v>0.30545293405898233</c:v>
                </c:pt>
                <c:pt idx="24">
                  <c:v>0.30593460994583671</c:v>
                </c:pt>
                <c:pt idx="25">
                  <c:v>0.30643682265449712</c:v>
                </c:pt>
                <c:pt idx="26">
                  <c:v>0.30695957701318705</c:v>
                </c:pt>
                <c:pt idx="27">
                  <c:v>0.30750287804821852</c:v>
                </c:pt>
                <c:pt idx="28">
                  <c:v>0.30806673098411286</c:v>
                </c:pt>
                <c:pt idx="29">
                  <c:v>0.30865114124372645</c:v>
                </c:pt>
                <c:pt idx="30">
                  <c:v>0.3092561144483813</c:v>
                </c:pt>
                <c:pt idx="31">
                  <c:v>0.3098816564180002</c:v>
                </c:pt>
                <c:pt idx="32">
                  <c:v>0.31052777317124708</c:v>
                </c:pt>
                <c:pt idx="33">
                  <c:v>0.31119447092567165</c:v>
                </c:pt>
                <c:pt idx="34">
                  <c:v>0.31188175609785929</c:v>
                </c:pt>
                <c:pt idx="35">
                  <c:v>0.31258963530358547</c:v>
                </c:pt>
                <c:pt idx="36">
                  <c:v>0.31331811535797532</c:v>
                </c:pt>
                <c:pt idx="37">
                  <c:v>0.31406720327566778</c:v>
                </c:pt>
                <c:pt idx="38">
                  <c:v>0.31483690627098476</c:v>
                </c:pt>
                <c:pt idx="39">
                  <c:v>0.31562723175810498</c:v>
                </c:pt>
                <c:pt idx="40">
                  <c:v>0.31643818735124274</c:v>
                </c:pt>
                <c:pt idx="41">
                  <c:v>0.31726978086483193</c:v>
                </c:pt>
                <c:pt idx="42">
                  <c:v>0.31812202031371417</c:v>
                </c:pt>
                <c:pt idx="43">
                  <c:v>0.31899491391333251</c:v>
                </c:pt>
                <c:pt idx="44">
                  <c:v>0.31988847007992971</c:v>
                </c:pt>
                <c:pt idx="45">
                  <c:v>0.32080269743075157</c:v>
                </c:pt>
                <c:pt idx="46">
                  <c:v>0.32173760478425495</c:v>
                </c:pt>
                <c:pt idx="47">
                  <c:v>0.32269320116032119</c:v>
                </c:pt>
                <c:pt idx="48">
                  <c:v>0.32366949578047355</c:v>
                </c:pt>
                <c:pt idx="49">
                  <c:v>0.32466649806810094</c:v>
                </c:pt>
                <c:pt idx="50">
                  <c:v>0.32568421764868538</c:v>
                </c:pt>
                <c:pt idx="51">
                  <c:v>0.32672266435003494</c:v>
                </c:pt>
                <c:pt idx="52">
                  <c:v>0.3277818482025216</c:v>
                </c:pt>
                <c:pt idx="53">
                  <c:v>0.32886177943932449</c:v>
                </c:pt>
                <c:pt idx="54">
                  <c:v>0.32996246849667737</c:v>
                </c:pt>
                <c:pt idx="55">
                  <c:v>0.3310839260141214</c:v>
                </c:pt>
                <c:pt idx="56">
                  <c:v>0.33222616283476342</c:v>
                </c:pt>
                <c:pt idx="57">
                  <c:v>0.33338919000553868</c:v>
                </c:pt>
                <c:pt idx="58">
                  <c:v>0.33457301877747875</c:v>
                </c:pt>
                <c:pt idx="59">
                  <c:v>0.3357776606059848</c:v>
                </c:pt>
                <c:pt idx="60">
                  <c:v>0.3370031271511052</c:v>
                </c:pt>
                <c:pt idx="61">
                  <c:v>0.33824943027781929</c:v>
                </c:pt>
                <c:pt idx="62">
                  <c:v>0.33951658205632534</c:v>
                </c:pt>
                <c:pt idx="63">
                  <c:v>0.34080459476233377</c:v>
                </c:pt>
                <c:pt idx="64">
                  <c:v>0.34211348087736604</c:v>
                </c:pt>
                <c:pt idx="65">
                  <c:v>0.34344325308905799</c:v>
                </c:pt>
                <c:pt idx="66">
                  <c:v>0.34479392429146877</c:v>
                </c:pt>
                <c:pt idx="67">
                  <c:v>0.34616550758539477</c:v>
                </c:pt>
                <c:pt idx="68">
                  <c:v>0.34755801627868849</c:v>
                </c:pt>
                <c:pt idx="69">
                  <c:v>0.3489714638865834</c:v>
                </c:pt>
                <c:pt idx="70">
                  <c:v>0.35040586413202285</c:v>
                </c:pt>
                <c:pt idx="71">
                  <c:v>0.35186123094599525</c:v>
                </c:pt>
                <c:pt idx="72">
                  <c:v>0.35333757846787378</c:v>
                </c:pt>
                <c:pt idx="73">
                  <c:v>0.35483492104576181</c:v>
                </c:pt>
                <c:pt idx="74">
                  <c:v>0.35635327323684335</c:v>
                </c:pt>
                <c:pt idx="75">
                  <c:v>0.35789264980773866</c:v>
                </c:pt>
                <c:pt idx="76">
                  <c:v>0.35945306573486546</c:v>
                </c:pt>
                <c:pt idx="77">
                  <c:v>0.36103453620480563</c:v>
                </c:pt>
                <c:pt idx="78">
                  <c:v>0.3626370766146762</c:v>
                </c:pt>
                <c:pt idx="79">
                  <c:v>0.36426070257250731</c:v>
                </c:pt>
                <c:pt idx="80">
                  <c:v>0.36590542989762387</c:v>
                </c:pt>
                <c:pt idx="81">
                  <c:v>0.36757127462103401</c:v>
                </c:pt>
                <c:pt idx="82">
                  <c:v>0.36925825298582188</c:v>
                </c:pt>
                <c:pt idx="83">
                  <c:v>0.37096638144754679</c:v>
                </c:pt>
                <c:pt idx="84">
                  <c:v>0.37269567667464654</c:v>
                </c:pt>
                <c:pt idx="85">
                  <c:v>0.37444615554884797</c:v>
                </c:pt>
                <c:pt idx="86">
                  <c:v>0.37621783516558127</c:v>
                </c:pt>
                <c:pt idx="87">
                  <c:v>0.37801073283440062</c:v>
                </c:pt>
                <c:pt idx="88">
                  <c:v>0.37982486607941068</c:v>
                </c:pt>
                <c:pt idx="89">
                  <c:v>0.38166025263969744</c:v>
                </c:pt>
                <c:pt idx="90">
                  <c:v>0.3835169104697661</c:v>
                </c:pt>
                <c:pt idx="91">
                  <c:v>0.38539485773998333</c:v>
                </c:pt>
                <c:pt idx="92">
                  <c:v>0.38729411283702569</c:v>
                </c:pt>
                <c:pt idx="93">
                  <c:v>0.38921469436433404</c:v>
                </c:pt>
                <c:pt idx="94">
                  <c:v>0.39115662114257199</c:v>
                </c:pt>
                <c:pt idx="95">
                  <c:v>0.39311991221009229</c:v>
                </c:pt>
                <c:pt idx="96">
                  <c:v>0.39510458682340704</c:v>
                </c:pt>
                <c:pt idx="97">
                  <c:v>0.39711066445766469</c:v>
                </c:pt>
                <c:pt idx="98">
                  <c:v>0.39913816480713227</c:v>
                </c:pt>
                <c:pt idx="99">
                  <c:v>0.40118710778568328</c:v>
                </c:pt>
                <c:pt idx="100">
                  <c:v>0.40325751352729189</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Calculations'!$BD$9:$BD$109</c:f>
              <c:numCache>
                <c:formatCode>0.000</c:formatCode>
                <c:ptCount val="101"/>
                <c:pt idx="0">
                  <c:v>3.1121113960984651E-3</c:v>
                </c:pt>
                <c:pt idx="1">
                  <c:v>1.2406930117017712E-2</c:v>
                </c:pt>
                <c:pt idx="2">
                  <c:v>2.1702343650541304E-2</c:v>
                </c:pt>
                <c:pt idx="3">
                  <c:v>3.0998351366552206E-2</c:v>
                </c:pt>
                <c:pt idx="4">
                  <c:v>4.1109753230857735E-2</c:v>
                </c:pt>
                <c:pt idx="5">
                  <c:v>5.138842695065482E-2</c:v>
                </c:pt>
                <c:pt idx="6">
                  <c:v>6.1667694084976611E-2</c:v>
                </c:pt>
                <c:pt idx="7">
                  <c:v>7.1947554266757349E-2</c:v>
                </c:pt>
                <c:pt idx="8">
                  <c:v>8.2228007128185343E-2</c:v>
                </c:pt>
                <c:pt idx="9">
                  <c:v>9.2509052300701888E-2</c:v>
                </c:pt>
                <c:pt idx="10">
                  <c:v>0.10279068941499998</c:v>
                </c:pt>
                <c:pt idx="11">
                  <c:v>0.11307291810102342</c:v>
                </c:pt>
                <c:pt idx="12">
                  <c:v>0.12335573798796541</c:v>
                </c:pt>
                <c:pt idx="13">
                  <c:v>0.13363914870426763</c:v>
                </c:pt>
                <c:pt idx="14">
                  <c:v>0.14392314987761906</c:v>
                </c:pt>
                <c:pt idx="15">
                  <c:v>0.15420774113495478</c:v>
                </c:pt>
                <c:pt idx="16">
                  <c:v>0.16449292210245492</c:v>
                </c:pt>
                <c:pt idx="17">
                  <c:v>0.1747786924055435</c:v>
                </c:pt>
                <c:pt idx="18">
                  <c:v>0.18506505166888718</c:v>
                </c:pt>
                <c:pt idx="19">
                  <c:v>0.19535199951639434</c:v>
                </c:pt>
                <c:pt idx="20">
                  <c:v>0.20563953557121387</c:v>
                </c:pt>
                <c:pt idx="21">
                  <c:v>0.21592765945573394</c:v>
                </c:pt>
                <c:pt idx="22">
                  <c:v>0.22621637079158102</c:v>
                </c:pt>
                <c:pt idx="23">
                  <c:v>0.23650566919961846</c:v>
                </c:pt>
                <c:pt idx="24">
                  <c:v>0.24679555429994593</c:v>
                </c:pt>
                <c:pt idx="25">
                  <c:v>0.25708602571189759</c:v>
                </c:pt>
                <c:pt idx="26">
                  <c:v>0.26737708305404151</c:v>
                </c:pt>
                <c:pt idx="27">
                  <c:v>0.27766872594417813</c:v>
                </c:pt>
                <c:pt idx="28">
                  <c:v>0.28796095399933958</c:v>
                </c:pt>
                <c:pt idx="29">
                  <c:v>0.29825376683578797</c:v>
                </c:pt>
                <c:pt idx="30">
                  <c:v>0.308547164069015</c:v>
                </c:pt>
                <c:pt idx="31">
                  <c:v>0.31884114531374008</c:v>
                </c:pt>
                <c:pt idx="32">
                  <c:v>0.32913571018390936</c:v>
                </c:pt>
                <c:pt idx="33">
                  <c:v>0.33943085829269531</c:v>
                </c:pt>
                <c:pt idx="34">
                  <c:v>0.34972658925249467</c:v>
                </c:pt>
                <c:pt idx="35">
                  <c:v>0.36002290267492765</c:v>
                </c:pt>
                <c:pt idx="36">
                  <c:v>0.3703197981708371</c:v>
                </c:pt>
                <c:pt idx="37">
                  <c:v>0.380617275350287</c:v>
                </c:pt>
                <c:pt idx="38">
                  <c:v>0.39091533382256116</c:v>
                </c:pt>
                <c:pt idx="39">
                  <c:v>0.40121397319616298</c:v>
                </c:pt>
                <c:pt idx="40">
                  <c:v>0.41151319307881307</c:v>
                </c:pt>
                <c:pt idx="41">
                  <c:v>0.42181299307744935</c:v>
                </c:pt>
                <c:pt idx="42">
                  <c:v>0.43211337279822493</c:v>
                </c:pt>
                <c:pt idx="43">
                  <c:v>0.44241433184650736</c:v>
                </c:pt>
                <c:pt idx="44">
                  <c:v>0.45271586982687795</c:v>
                </c:pt>
                <c:pt idx="45">
                  <c:v>0.46301798634312968</c:v>
                </c:pt>
                <c:pt idx="46">
                  <c:v>0.47332068099826691</c:v>
                </c:pt>
                <c:pt idx="47">
                  <c:v>0.48362395339450398</c:v>
                </c:pt>
                <c:pt idx="48">
                  <c:v>0.49392780313326384</c:v>
                </c:pt>
                <c:pt idx="49">
                  <c:v>0.50423222981517724</c:v>
                </c:pt>
                <c:pt idx="50">
                  <c:v>0.51453723304008125</c:v>
                </c:pt>
                <c:pt idx="51">
                  <c:v>0.5248428124070188</c:v>
                </c:pt>
                <c:pt idx="52">
                  <c:v>0.53514896751423691</c:v>
                </c:pt>
                <c:pt idx="53">
                  <c:v>0.54545569795918536</c:v>
                </c:pt>
                <c:pt idx="54">
                  <c:v>0.55576300333851658</c:v>
                </c:pt>
                <c:pt idx="55">
                  <c:v>0.56607088324808341</c:v>
                </c:pt>
                <c:pt idx="56">
                  <c:v>0.576379337282939</c:v>
                </c:pt>
                <c:pt idx="57">
                  <c:v>0.58668836503733435</c:v>
                </c:pt>
                <c:pt idx="58">
                  <c:v>0.59699796610471856</c:v>
                </c:pt>
                <c:pt idx="59">
                  <c:v>0.60730814007773737</c:v>
                </c:pt>
                <c:pt idx="60">
                  <c:v>0.61761888654823038</c:v>
                </c:pt>
                <c:pt idx="61">
                  <c:v>0.62793020510723319</c:v>
                </c:pt>
                <c:pt idx="62">
                  <c:v>0.63824209534497323</c:v>
                </c:pt>
                <c:pt idx="63">
                  <c:v>0.64855455685086949</c:v>
                </c:pt>
                <c:pt idx="64">
                  <c:v>0.65886758921353283</c:v>
                </c:pt>
                <c:pt idx="65">
                  <c:v>0.66918119202076287</c:v>
                </c:pt>
                <c:pt idx="66">
                  <c:v>0.67949536485954787</c:v>
                </c:pt>
                <c:pt idx="67">
                  <c:v>0.6898101073160634</c:v>
                </c:pt>
                <c:pt idx="68">
                  <c:v>0.7001254189756716</c:v>
                </c:pt>
                <c:pt idx="69">
                  <c:v>0.710441299422919</c:v>
                </c:pt>
                <c:pt idx="70">
                  <c:v>0.72075774824153682</c:v>
                </c:pt>
                <c:pt idx="71">
                  <c:v>0.73107476501443847</c:v>
                </c:pt>
                <c:pt idx="72">
                  <c:v>0.74139234932371956</c:v>
                </c:pt>
                <c:pt idx="73">
                  <c:v>0.75171050075065593</c:v>
                </c:pt>
                <c:pt idx="74">
                  <c:v>0.76202921887570307</c:v>
                </c:pt>
                <c:pt idx="75">
                  <c:v>0.77234850327849447</c:v>
                </c:pt>
                <c:pt idx="76">
                  <c:v>0.78266835353784114</c:v>
                </c:pt>
                <c:pt idx="77">
                  <c:v>0.79298876923173012</c:v>
                </c:pt>
                <c:pt idx="78">
                  <c:v>0.80330974993732307</c:v>
                </c:pt>
                <c:pt idx="79">
                  <c:v>0.81363129523095568</c:v>
                </c:pt>
                <c:pt idx="80">
                  <c:v>0.82395340468813627</c:v>
                </c:pt>
                <c:pt idx="81">
                  <c:v>0.83427607788354474</c:v>
                </c:pt>
                <c:pt idx="82">
                  <c:v>0.84459931439103131</c:v>
                </c:pt>
                <c:pt idx="83">
                  <c:v>0.85492311378361574</c:v>
                </c:pt>
                <c:pt idx="84">
                  <c:v>0.86524747563348514</c:v>
                </c:pt>
                <c:pt idx="85">
                  <c:v>0.87557239951199484</c:v>
                </c:pt>
                <c:pt idx="86">
                  <c:v>0.88589788498966504</c:v>
                </c:pt>
                <c:pt idx="87">
                  <c:v>0.8962239316361813</c:v>
                </c:pt>
                <c:pt idx="88">
                  <c:v>0.90655053902039306</c:v>
                </c:pt>
                <c:pt idx="89">
                  <c:v>0.91687770671031132</c:v>
                </c:pt>
                <c:pt idx="90">
                  <c:v>0.92720543427310931</c:v>
                </c:pt>
                <c:pt idx="91">
                  <c:v>0.93753372127512036</c:v>
                </c:pt>
                <c:pt idx="92">
                  <c:v>0.94786256728183649</c:v>
                </c:pt>
                <c:pt idx="93">
                  <c:v>0.95819197185790861</c:v>
                </c:pt>
                <c:pt idx="94">
                  <c:v>0.96852193456714364</c:v>
                </c:pt>
                <c:pt idx="95">
                  <c:v>0.97885245497250484</c:v>
                </c:pt>
                <c:pt idx="96">
                  <c:v>0.98918353263610981</c:v>
                </c:pt>
                <c:pt idx="97">
                  <c:v>0.99951516711922961</c:v>
                </c:pt>
                <c:pt idx="98">
                  <c:v>1.0098473579822882</c:v>
                </c:pt>
                <c:pt idx="99">
                  <c:v>1.0201801047848598</c:v>
                </c:pt>
                <c:pt idx="100">
                  <c:v>1.0305134070856703</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Calculations'!$AZ$9:$AZ$109</c:f>
              <c:numCache>
                <c:formatCode>0.00</c:formatCode>
                <c:ptCount val="101"/>
                <c:pt idx="0">
                  <c:v>0</c:v>
                </c:pt>
                <c:pt idx="1">
                  <c:v>43.99209132717575</c:v>
                </c:pt>
                <c:pt idx="2">
                  <c:v>60.52867100355035</c:v>
                </c:pt>
                <c:pt idx="3">
                  <c:v>69.211097811904594</c:v>
                </c:pt>
                <c:pt idx="4">
                  <c:v>74.527412861220029</c:v>
                </c:pt>
                <c:pt idx="5">
                  <c:v>78.120649239619937</c:v>
                </c:pt>
                <c:pt idx="6">
                  <c:v>80.714179265969904</c:v>
                </c:pt>
                <c:pt idx="7">
                  <c:v>82.673932427497249</c:v>
                </c:pt>
                <c:pt idx="8">
                  <c:v>84.206667162548044</c:v>
                </c:pt>
                <c:pt idx="9">
                  <c:v>85.438027404157239</c:v>
                </c:pt>
                <c:pt idx="10">
                  <c:v>86.448767734596117</c:v>
                </c:pt>
                <c:pt idx="11">
                  <c:v>87.293156873413295</c:v>
                </c:pt>
                <c:pt idx="12">
                  <c:v>88.009013332613264</c:v>
                </c:pt>
                <c:pt idx="13">
                  <c:v>88.62349942383311</c:v>
                </c:pt>
                <c:pt idx="14">
                  <c:v>89.156627537506878</c:v>
                </c:pt>
                <c:pt idx="15">
                  <c:v>89.623467469861254</c:v>
                </c:pt>
                <c:pt idx="16">
                  <c:v>90.035583567689443</c:v>
                </c:pt>
                <c:pt idx="17">
                  <c:v>90.401997981887789</c:v>
                </c:pt>
                <c:pt idx="18">
                  <c:v>90.729852839673413</c:v>
                </c:pt>
                <c:pt idx="19">
                  <c:v>91.02487569187204</c:v>
                </c:pt>
                <c:pt idx="20">
                  <c:v>91.291713204242896</c:v>
                </c:pt>
                <c:pt idx="21">
                  <c:v>91.534174645223146</c:v>
                </c:pt>
                <c:pt idx="22">
                  <c:v>91.755412391522256</c:v>
                </c:pt>
                <c:pt idx="23">
                  <c:v>91.958057672644415</c:v>
                </c:pt>
                <c:pt idx="24">
                  <c:v>92.14432399000323</c:v>
                </c:pt>
                <c:pt idx="25">
                  <c:v>92.316086848545311</c:v>
                </c:pt>
                <c:pt idx="26">
                  <c:v>92.474945897852038</c:v>
                </c:pt>
                <c:pt idx="27">
                  <c:v>92.62227384979856</c:v>
                </c:pt>
                <c:pt idx="28">
                  <c:v>92.759255343220858</c:v>
                </c:pt>
                <c:pt idx="29">
                  <c:v>92.886918086072342</c:v>
                </c:pt>
                <c:pt idx="30">
                  <c:v>93.006158007913172</c:v>
                </c:pt>
                <c:pt idx="31">
                  <c:v>93.117759725000639</c:v>
                </c:pt>
                <c:pt idx="32">
                  <c:v>93.222413306410118</c:v>
                </c:pt>
                <c:pt idx="33">
                  <c:v>93.32072809837679</c:v>
                </c:pt>
                <c:pt idx="34">
                  <c:v>93.413244191939512</c:v>
                </c:pt>
                <c:pt idx="35">
                  <c:v>93.500441989653865</c:v>
                </c:pt>
                <c:pt idx="36">
                  <c:v>93.582750229115774</c:v>
                </c:pt>
                <c:pt idx="37">
                  <c:v>93.660552746109872</c:v>
                </c:pt>
                <c:pt idx="38">
                  <c:v>93.734194202473134</c:v>
                </c:pt>
                <c:pt idx="39">
                  <c:v>93.8039849589656</c:v>
                </c:pt>
                <c:pt idx="40">
                  <c:v>93.870205238428767</c:v>
                </c:pt>
                <c:pt idx="41">
                  <c:v>93.933108696967665</c:v>
                </c:pt>
                <c:pt idx="42">
                  <c:v>93.992925499088074</c:v>
                </c:pt>
                <c:pt idx="43">
                  <c:v>94.049864975355149</c:v>
                </c:pt>
                <c:pt idx="44">
                  <c:v>94.104117927233233</c:v>
                </c:pt>
                <c:pt idx="45">
                  <c:v>94.155858632569007</c:v>
                </c:pt>
                <c:pt idx="46">
                  <c:v>94.205246596117888</c:v>
                </c:pt>
                <c:pt idx="47">
                  <c:v>94.252428082143837</c:v>
                </c:pt>
                <c:pt idx="48">
                  <c:v>94.297537460101026</c:v>
                </c:pt>
                <c:pt idx="49">
                  <c:v>94.340698389463512</c:v>
                </c:pt>
                <c:pt idx="50">
                  <c:v>94.38202486569665</c:v>
                </c:pt>
                <c:pt idx="51">
                  <c:v>94.421622145992032</c:v>
                </c:pt>
                <c:pt idx="52">
                  <c:v>94.459587570588155</c:v>
                </c:pt>
                <c:pt idx="53">
                  <c:v>94.49601129316288</c:v>
                </c:pt>
                <c:pt idx="54">
                  <c:v>94.530976931829329</c:v>
                </c:pt>
                <c:pt idx="55">
                  <c:v>94.564562150625335</c:v>
                </c:pt>
                <c:pt idx="56">
                  <c:v>94.596839180002675</c:v>
                </c:pt>
                <c:pt idx="57">
                  <c:v>94.62787528365412</c:v>
                </c:pt>
                <c:pt idx="58">
                  <c:v>94.657733178023094</c:v>
                </c:pt>
                <c:pt idx="59">
                  <c:v>94.686471409999044</c:v>
                </c:pt>
                <c:pt idx="60">
                  <c:v>94.714144697581006</c:v>
                </c:pt>
                <c:pt idx="61">
                  <c:v>94.740804237677693</c:v>
                </c:pt>
                <c:pt idx="62">
                  <c:v>94.766497984683724</c:v>
                </c:pt>
                <c:pt idx="63">
                  <c:v>94.791270903019097</c:v>
                </c:pt>
                <c:pt idx="64">
                  <c:v>94.815165196427301</c:v>
                </c:pt>
                <c:pt idx="65">
                  <c:v>94.838220516489329</c:v>
                </c:pt>
                <c:pt idx="66">
                  <c:v>94.860474152519686</c:v>
                </c:pt>
                <c:pt idx="67">
                  <c:v>94.88196120475429</c:v>
                </c:pt>
                <c:pt idx="68">
                  <c:v>94.902714742521496</c:v>
                </c:pt>
                <c:pt idx="69">
                  <c:v>94.922765948893044</c:v>
                </c:pt>
                <c:pt idx="70">
                  <c:v>94.942144253144662</c:v>
                </c:pt>
                <c:pt idx="71">
                  <c:v>94.960877452208052</c:v>
                </c:pt>
                <c:pt idx="72">
                  <c:v>94.97899182216706</c:v>
                </c:pt>
                <c:pt idx="73">
                  <c:v>94.996512220737529</c:v>
                </c:pt>
                <c:pt idx="74">
                  <c:v>95.013462181569793</c:v>
                </c:pt>
                <c:pt idx="75">
                  <c:v>95.029864001125404</c:v>
                </c:pt>
                <c:pt idx="76">
                  <c:v>95.045738818801226</c:v>
                </c:pt>
                <c:pt idx="77">
                  <c:v>95.061106690905604</c:v>
                </c:pt>
                <c:pt idx="78">
                  <c:v>95.075986659029681</c:v>
                </c:pt>
                <c:pt idx="79">
                  <c:v>95.090396813303357</c:v>
                </c:pt>
                <c:pt idx="80">
                  <c:v>95.104354350976806</c:v>
                </c:pt>
                <c:pt idx="81">
                  <c:v>95.11787563072572</c:v>
                </c:pt>
                <c:pt idx="82">
                  <c:v>95.13097622303988</c:v>
                </c:pt>
                <c:pt idx="83">
                  <c:v>95.143670957020817</c:v>
                </c:pt>
                <c:pt idx="84">
                  <c:v>95.155973963883767</c:v>
                </c:pt>
                <c:pt idx="85">
                  <c:v>95.167898717431015</c:v>
                </c:pt>
                <c:pt idx="86">
                  <c:v>95.179458071740612</c:v>
                </c:pt>
                <c:pt idx="87">
                  <c:v>95.19066429629062</c:v>
                </c:pt>
                <c:pt idx="88">
                  <c:v>95.201529108720649</c:v>
                </c:pt>
                <c:pt idx="89">
                  <c:v>95.212063705413996</c:v>
                </c:pt>
                <c:pt idx="90">
                  <c:v>95.222278790067477</c:v>
                </c:pt>
                <c:pt idx="91">
                  <c:v>95.232184600401908</c:v>
                </c:pt>
                <c:pt idx="92">
                  <c:v>95.241790933152899</c:v>
                </c:pt>
                <c:pt idx="93">
                  <c:v>95.251107167469513</c:v>
                </c:pt>
                <c:pt idx="94">
                  <c:v>95.260142286838317</c:v>
                </c:pt>
                <c:pt idx="95">
                  <c:v>95.268904899639622</c:v>
                </c:pt>
                <c:pt idx="96">
                  <c:v>95.277403258434731</c:v>
                </c:pt>
                <c:pt idx="97">
                  <c:v>95.285645278074654</c:v>
                </c:pt>
                <c:pt idx="98">
                  <c:v>95.293638552713205</c:v>
                </c:pt>
                <c:pt idx="99">
                  <c:v>95.301390371801475</c:v>
                </c:pt>
                <c:pt idx="100">
                  <c:v>95.308907735133516</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Calculations'!$BC$9:$BC$109</c:f>
              <c:numCache>
                <c:formatCode>0.000</c:formatCode>
                <c:ptCount val="101"/>
                <c:pt idx="0">
                  <c:v>0.60737386286772588</c:v>
                </c:pt>
                <c:pt idx="1">
                  <c:v>0.62766549099774882</c:v>
                </c:pt>
                <c:pt idx="2">
                  <c:v>0.64717299075122448</c:v>
                </c:pt>
                <c:pt idx="3">
                  <c:v>0.66589638642277504</c:v>
                </c:pt>
                <c:pt idx="4">
                  <c:v>0.68599988316729266</c:v>
                </c:pt>
                <c:pt idx="5">
                  <c:v>0.70650688696692177</c:v>
                </c:pt>
                <c:pt idx="6">
                  <c:v>0.72704535203010612</c:v>
                </c:pt>
                <c:pt idx="7">
                  <c:v>0.74761533388615431</c:v>
                </c:pt>
                <c:pt idx="8">
                  <c:v>0.76821688889700468</c:v>
                </c:pt>
                <c:pt idx="9">
                  <c:v>0.78885007425989317</c:v>
                </c:pt>
                <c:pt idx="10">
                  <c:v>0.80951494801008006</c:v>
                </c:pt>
                <c:pt idx="11">
                  <c:v>0.83021156902362991</c:v>
                </c:pt>
                <c:pt idx="12">
                  <c:v>0.85093999702024892</c:v>
                </c:pt>
                <c:pt idx="13">
                  <c:v>0.87170029256617743</c:v>
                </c:pt>
                <c:pt idx="14">
                  <c:v>0.89249251707713784</c:v>
                </c:pt>
                <c:pt idx="15">
                  <c:v>0.91331673282134307</c:v>
                </c:pt>
                <c:pt idx="16">
                  <c:v>0.93417300292255789</c:v>
                </c:pt>
                <c:pt idx="17">
                  <c:v>0.95506139136321933</c:v>
                </c:pt>
                <c:pt idx="18">
                  <c:v>0.97598196298761486</c:v>
                </c:pt>
                <c:pt idx="19">
                  <c:v>0.99693478350511899</c:v>
                </c:pt>
                <c:pt idx="20">
                  <c:v>1.0179199194934867</c:v>
                </c:pt>
                <c:pt idx="21">
                  <c:v>1.0389374384022079</c:v>
                </c:pt>
                <c:pt idx="22">
                  <c:v>1.0599874085559176</c:v>
                </c:pt>
                <c:pt idx="23">
                  <c:v>1.0810698991578682</c:v>
                </c:pt>
                <c:pt idx="24">
                  <c:v>1.1021849802934622</c:v>
                </c:pt>
                <c:pt idx="25">
                  <c:v>1.1233327229338406</c:v>
                </c:pt>
                <c:pt idx="26">
                  <c:v>1.1445131989395376</c:v>
                </c:pt>
                <c:pt idx="27">
                  <c:v>1.165726481064191</c:v>
                </c:pt>
                <c:pt idx="28">
                  <c:v>1.1869726429583176</c:v>
                </c:pt>
                <c:pt idx="29">
                  <c:v>1.208251759173149</c:v>
                </c:pt>
                <c:pt idx="30">
                  <c:v>1.2295639051645286</c:v>
                </c:pt>
                <c:pt idx="31">
                  <c:v>1.2509091572968725</c:v>
                </c:pt>
                <c:pt idx="32">
                  <c:v>1.2722875928471917</c:v>
                </c:pt>
                <c:pt idx="33">
                  <c:v>1.2936992900091806</c:v>
                </c:pt>
                <c:pt idx="34">
                  <c:v>1.3151443278973662</c:v>
                </c:pt>
                <c:pt idx="35">
                  <c:v>1.3366227865513225</c:v>
                </c:pt>
                <c:pt idx="36">
                  <c:v>1.3581347469399518</c:v>
                </c:pt>
                <c:pt idx="37">
                  <c:v>1.3796802909658272</c:v>
                </c:pt>
                <c:pt idx="38">
                  <c:v>1.4012595014696041</c:v>
                </c:pt>
                <c:pt idx="39">
                  <c:v>1.4228724622344973</c:v>
                </c:pt>
                <c:pt idx="40">
                  <c:v>1.444519257990823</c:v>
                </c:pt>
                <c:pt idx="41">
                  <c:v>1.4661999744206109</c:v>
                </c:pt>
                <c:pt idx="42">
                  <c:v>1.4879146981622788</c:v>
                </c:pt>
                <c:pt idx="43">
                  <c:v>1.5096635168153842</c:v>
                </c:pt>
                <c:pt idx="44">
                  <c:v>1.5314465189454349</c:v>
                </c:pt>
                <c:pt idx="45">
                  <c:v>1.553263794088775</c:v>
                </c:pt>
                <c:pt idx="46">
                  <c:v>1.5751154327575387</c:v>
                </c:pt>
                <c:pt idx="47">
                  <c:v>1.5970015264446764</c:v>
                </c:pt>
                <c:pt idx="48">
                  <c:v>1.6189221676290477</c:v>
                </c:pt>
                <c:pt idx="49">
                  <c:v>1.6408774497805896</c:v>
                </c:pt>
                <c:pt idx="50">
                  <c:v>1.6628674673655559</c:v>
                </c:pt>
                <c:pt idx="51">
                  <c:v>1.6848923158518296</c:v>
                </c:pt>
                <c:pt idx="52">
                  <c:v>1.7069520917143066</c:v>
                </c:pt>
                <c:pt idx="53">
                  <c:v>1.7290468924403564</c:v>
                </c:pt>
                <c:pt idx="54">
                  <c:v>1.7511768165353545</c:v>
                </c:pt>
                <c:pt idx="55">
                  <c:v>1.7733419635282921</c:v>
                </c:pt>
                <c:pt idx="56">
                  <c:v>1.7955424339774622</c:v>
                </c:pt>
                <c:pt idx="57">
                  <c:v>1.817778329476218</c:v>
                </c:pt>
                <c:pt idx="58">
                  <c:v>1.8400497526588144</c:v>
                </c:pt>
                <c:pt idx="59">
                  <c:v>1.8623568072063235</c:v>
                </c:pt>
                <c:pt idx="60">
                  <c:v>1.8846995978526278</c:v>
                </c:pt>
                <c:pt idx="61">
                  <c:v>1.9070782303904985</c:v>
                </c:pt>
                <c:pt idx="62">
                  <c:v>1.9294928116777466</c:v>
                </c:pt>
                <c:pt idx="63">
                  <c:v>1.9519434496434578</c:v>
                </c:pt>
                <c:pt idx="64">
                  <c:v>1.9744302532943125</c:v>
                </c:pt>
                <c:pt idx="65">
                  <c:v>1.996953332720981</c:v>
                </c:pt>
                <c:pt idx="66">
                  <c:v>2.0195127991046053</c:v>
                </c:pt>
                <c:pt idx="67">
                  <c:v>2.0421087647233689</c:v>
                </c:pt>
                <c:pt idx="68">
                  <c:v>2.0647413429591404</c:v>
                </c:pt>
                <c:pt idx="69">
                  <c:v>2.0874106483042145</c:v>
                </c:pt>
                <c:pt idx="70">
                  <c:v>2.1101167963681298</c:v>
                </c:pt>
                <c:pt idx="71">
                  <c:v>2.1328599038845799</c:v>
                </c:pt>
                <c:pt idx="72">
                  <c:v>2.1556400887184068</c:v>
                </c:pt>
                <c:pt idx="73">
                  <c:v>2.1784574698726895</c:v>
                </c:pt>
                <c:pt idx="74">
                  <c:v>2.2013121674959155</c:v>
                </c:pt>
                <c:pt idx="75">
                  <c:v>2.224204302889246</c:v>
                </c:pt>
                <c:pt idx="76">
                  <c:v>2.2471339985138741</c:v>
                </c:pt>
                <c:pt idx="77">
                  <c:v>2.270101377998472</c:v>
                </c:pt>
                <c:pt idx="78">
                  <c:v>2.2931065661467311</c:v>
                </c:pt>
                <c:pt idx="79">
                  <c:v>2.316149688945</c:v>
                </c:pt>
                <c:pt idx="80">
                  <c:v>2.3392308735700134</c:v>
                </c:pt>
                <c:pt idx="81">
                  <c:v>2.3623502483967189</c:v>
                </c:pt>
                <c:pt idx="82">
                  <c:v>2.3855079430062007</c:v>
                </c:pt>
                <c:pt idx="83">
                  <c:v>2.4087040881937014</c:v>
                </c:pt>
                <c:pt idx="84">
                  <c:v>2.4319388159767401</c:v>
                </c:pt>
                <c:pt idx="85">
                  <c:v>2.4552122596033357</c:v>
                </c:pt>
                <c:pt idx="86">
                  <c:v>2.4785245535603266</c:v>
                </c:pt>
                <c:pt idx="87">
                  <c:v>2.5018758335817921</c:v>
                </c:pt>
                <c:pt idx="88">
                  <c:v>2.5252662366575831</c:v>
                </c:pt>
                <c:pt idx="89">
                  <c:v>2.5486959010419477</c:v>
                </c:pt>
                <c:pt idx="90">
                  <c:v>2.5721649662622701</c:v>
                </c:pt>
                <c:pt idx="91">
                  <c:v>2.5956735731279132</c:v>
                </c:pt>
                <c:pt idx="92">
                  <c:v>2.6192218637391651</c:v>
                </c:pt>
                <c:pt idx="93">
                  <c:v>2.6428099814963018</c:v>
                </c:pt>
                <c:pt idx="94">
                  <c:v>2.6664380711087508</c:v>
                </c:pt>
                <c:pt idx="95">
                  <c:v>2.6901062786043752</c:v>
                </c:pt>
                <c:pt idx="96">
                  <c:v>2.7138147513388624</c:v>
                </c:pt>
                <c:pt idx="97">
                  <c:v>2.7375636380052293</c:v>
                </c:pt>
                <c:pt idx="98">
                  <c:v>2.761353088643443</c:v>
                </c:pt>
                <c:pt idx="99">
                  <c:v>2.7851832546501551</c:v>
                </c:pt>
                <c:pt idx="100">
                  <c:v>2.809054288788559</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Calculations'!$BA$9:$BA$109</c:f>
              <c:numCache>
                <c:formatCode>0.000</c:formatCode>
                <c:ptCount val="101"/>
                <c:pt idx="0">
                  <c:v>0.30004300006046886</c:v>
                </c:pt>
                <c:pt idx="1">
                  <c:v>0.30005575502474496</c:v>
                </c:pt>
                <c:pt idx="2">
                  <c:v>0.30009411036100964</c:v>
                </c:pt>
                <c:pt idx="3">
                  <c:v>0.30015806652953708</c:v>
                </c:pt>
                <c:pt idx="4">
                  <c:v>0.30024762429782509</c:v>
                </c:pt>
                <c:pt idx="5">
                  <c:v>0.30036278474061823</c:v>
                </c:pt>
                <c:pt idx="6">
                  <c:v>0.30050354923993966</c:v>
                </c:pt>
                <c:pt idx="7">
                  <c:v>0.30066991948513289</c:v>
                </c:pt>
                <c:pt idx="8">
                  <c:v>0.30086189747291237</c:v>
                </c:pt>
                <c:pt idx="9">
                  <c:v>0.30107948550742358</c:v>
                </c:pt>
                <c:pt idx="10">
                  <c:v>0.30132268620031188</c:v>
                </c:pt>
                <c:pt idx="11">
                  <c:v>0.30159150247080097</c:v>
                </c:pt>
                <c:pt idx="12">
                  <c:v>0.30188593754578075</c:v>
                </c:pt>
                <c:pt idx="13">
                  <c:v>0.3022059949599038</c:v>
                </c:pt>
                <c:pt idx="14">
                  <c:v>0.30255167855569182</c:v>
                </c:pt>
                <c:pt idx="15">
                  <c:v>0.30292299248365073</c:v>
                </c:pt>
                <c:pt idx="16">
                  <c:v>0.30331994120239536</c:v>
                </c:pt>
                <c:pt idx="17">
                  <c:v>0.3037425294787835</c:v>
                </c:pt>
                <c:pt idx="18">
                  <c:v>0.30419076238805881</c:v>
                </c:pt>
                <c:pt idx="19">
                  <c:v>0.30466464531400328</c:v>
                </c:pt>
                <c:pt idx="20">
                  <c:v>0.30516418394909928</c:v>
                </c:pt>
                <c:pt idx="21">
                  <c:v>0.30568938429470011</c:v>
                </c:pt>
                <c:pt idx="22">
                  <c:v>0.30624025266121069</c:v>
                </c:pt>
                <c:pt idx="23">
                  <c:v>0.30681679566827719</c:v>
                </c:pt>
                <c:pt idx="24">
                  <c:v>0.3074190202449858</c:v>
                </c:pt>
                <c:pt idx="25">
                  <c:v>0.30804693363007118</c:v>
                </c:pt>
                <c:pt idx="26">
                  <c:v>0.30870054337213443</c:v>
                </c:pt>
                <c:pt idx="27">
                  <c:v>0.30937985732986956</c:v>
                </c:pt>
                <c:pt idx="28">
                  <c:v>0.31008488367230042</c:v>
                </c:pt>
                <c:pt idx="29">
                  <c:v>0.31081563087902631</c:v>
                </c:pt>
                <c:pt idx="30">
                  <c:v>0.31157210774047717</c:v>
                </c:pt>
                <c:pt idx="31">
                  <c:v>0.31235432335817825</c:v>
                </c:pt>
                <c:pt idx="32">
                  <c:v>0.31316228714502453</c:v>
                </c:pt>
                <c:pt idx="33">
                  <c:v>0.31399600882556356</c:v>
                </c:pt>
                <c:pt idx="34">
                  <c:v>0.31485549843628902</c:v>
                </c:pt>
                <c:pt idx="35">
                  <c:v>0.315740766325943</c:v>
                </c:pt>
                <c:pt idx="36">
                  <c:v>0.31665182315582807</c:v>
                </c:pt>
                <c:pt idx="37">
                  <c:v>0.31758867990012868</c:v>
                </c:pt>
                <c:pt idx="38">
                  <c:v>0.31855134784624206</c:v>
                </c:pt>
                <c:pt idx="39">
                  <c:v>0.3195398385951192</c:v>
                </c:pt>
                <c:pt idx="40">
                  <c:v>0.32055416406161458</c:v>
                </c:pt>
                <c:pt idx="41">
                  <c:v>0.32159433647484625</c:v>
                </c:pt>
                <c:pt idx="42">
                  <c:v>0.32266036837856493</c:v>
                </c:pt>
                <c:pt idx="43">
                  <c:v>0.32375227263153317</c:v>
                </c:pt>
                <c:pt idx="44">
                  <c:v>0.32487006240791411</c:v>
                </c:pt>
                <c:pt idx="45">
                  <c:v>0.3260137511976694</c:v>
                </c:pt>
                <c:pt idx="46">
                  <c:v>0.3271833528069677</c:v>
                </c:pt>
                <c:pt idx="47">
                  <c:v>0.32837888135860227</c:v>
                </c:pt>
                <c:pt idx="48">
                  <c:v>0.32960035129241816</c:v>
                </c:pt>
                <c:pt idx="49">
                  <c:v>0.33084777736575011</c:v>
                </c:pt>
                <c:pt idx="50">
                  <c:v>0.33212117465386892</c:v>
                </c:pt>
                <c:pt idx="51">
                  <c:v>0.33342055855043901</c:v>
                </c:pt>
                <c:pt idx="52">
                  <c:v>0.33474594476798458</c:v>
                </c:pt>
                <c:pt idx="53">
                  <c:v>0.33609734933836655</c:v>
                </c:pt>
                <c:pt idx="54">
                  <c:v>0.33747478861326896</c:v>
                </c:pt>
                <c:pt idx="55">
                  <c:v>0.33887827926469566</c:v>
                </c:pt>
                <c:pt idx="56">
                  <c:v>0.34030783828547617</c:v>
                </c:pt>
                <c:pt idx="57">
                  <c:v>0.34176348298978254</c:v>
                </c:pt>
                <c:pt idx="58">
                  <c:v>0.34324523101365556</c:v>
                </c:pt>
                <c:pt idx="59">
                  <c:v>0.34475310031554118</c:v>
                </c:pt>
                <c:pt idx="60">
                  <c:v>0.34628710917683714</c:v>
                </c:pt>
                <c:pt idx="61">
                  <c:v>0.34784727620244954</c:v>
                </c:pt>
                <c:pt idx="62">
                  <c:v>0.34943362032135944</c:v>
                </c:pt>
                <c:pt idx="63">
                  <c:v>0.35104616078720002</c:v>
                </c:pt>
                <c:pt idx="64">
                  <c:v>0.35268491717884365</c:v>
                </c:pt>
                <c:pt idx="65">
                  <c:v>0.3543499094009992</c:v>
                </c:pt>
                <c:pt idx="66">
                  <c:v>0.35604115768481975</c:v>
                </c:pt>
                <c:pt idx="67">
                  <c:v>0.35775868258852056</c:v>
                </c:pt>
                <c:pt idx="68">
                  <c:v>0.35950250499800723</c:v>
                </c:pt>
                <c:pt idx="69">
                  <c:v>0.36127264612751442</c:v>
                </c:pt>
                <c:pt idx="70">
                  <c:v>0.36306912752025522</c:v>
                </c:pt>
                <c:pt idx="71">
                  <c:v>0.36489197104908005</c:v>
                </c:pt>
                <c:pt idx="72">
                  <c:v>0.36674119891714746</c:v>
                </c:pt>
                <c:pt idx="73">
                  <c:v>0.36861683365860398</c:v>
                </c:pt>
                <c:pt idx="74">
                  <c:v>0.3705188981392758</c:v>
                </c:pt>
                <c:pt idx="75">
                  <c:v>0.37244741555737015</c:v>
                </c:pt>
                <c:pt idx="76">
                  <c:v>0.37440240944418768</c:v>
                </c:pt>
                <c:pt idx="77">
                  <c:v>0.37638390366484581</c:v>
                </c:pt>
                <c:pt idx="78">
                  <c:v>0.37839192241901226</c:v>
                </c:pt>
                <c:pt idx="79">
                  <c:v>0.38042649024164971</c:v>
                </c:pt>
                <c:pt idx="80">
                  <c:v>0.38248763200377112</c:v>
                </c:pt>
                <c:pt idx="81">
                  <c:v>0.38457537291320615</c:v>
                </c:pt>
                <c:pt idx="82">
                  <c:v>0.38668973851537802</c:v>
                </c:pt>
                <c:pt idx="83">
                  <c:v>0.3888307546940919</c:v>
                </c:pt>
                <c:pt idx="84">
                  <c:v>0.39099844767233388</c:v>
                </c:pt>
                <c:pt idx="85">
                  <c:v>0.39319284401308113</c:v>
                </c:pt>
                <c:pt idx="86">
                  <c:v>0.3954139706201229</c:v>
                </c:pt>
                <c:pt idx="87">
                  <c:v>0.39766185473889326</c:v>
                </c:pt>
                <c:pt idx="88">
                  <c:v>0.39993652395731455</c:v>
                </c:pt>
                <c:pt idx="89">
                  <c:v>0.40223800620665168</c:v>
                </c:pt>
                <c:pt idx="90">
                  <c:v>0.40456632976237905</c:v>
                </c:pt>
                <c:pt idx="91">
                  <c:v>0.40692152324505709</c:v>
                </c:pt>
                <c:pt idx="92">
                  <c:v>0.40930361562122175</c:v>
                </c:pt>
                <c:pt idx="93">
                  <c:v>0.41171263620428417</c:v>
                </c:pt>
                <c:pt idx="94">
                  <c:v>0.41414861465544273</c:v>
                </c:pt>
                <c:pt idx="95">
                  <c:v>0.41661158098460616</c:v>
                </c:pt>
                <c:pt idx="96">
                  <c:v>0.41910156555132855</c:v>
                </c:pt>
                <c:pt idx="97">
                  <c:v>0.42161859906575555</c:v>
                </c:pt>
                <c:pt idx="98">
                  <c:v>0.4241627125895831</c:v>
                </c:pt>
                <c:pt idx="99">
                  <c:v>0.42673393753702671</c:v>
                </c:pt>
                <c:pt idx="100">
                  <c:v>0.42933230567580399</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'Ch2 Efficiency Calculations'!$BD$9:$BD$109</c:f>
              <c:numCache>
                <c:formatCode>0.000</c:formatCode>
                <c:ptCount val="101"/>
                <c:pt idx="0">
                  <c:v>3.1121115454517639E-3</c:v>
                </c:pt>
                <c:pt idx="1">
                  <c:v>1.2406774712013926E-2</c:v>
                </c:pt>
                <c:pt idx="2">
                  <c:v>2.1702032855995881E-2</c:v>
                </c:pt>
                <c:pt idx="3">
                  <c:v>3.0997885430865305E-2</c:v>
                </c:pt>
                <c:pt idx="4">
                  <c:v>4.1109754995933771E-2</c:v>
                </c:pt>
                <c:pt idx="5">
                  <c:v>5.1388430413755855E-2</c:v>
                </c:pt>
                <c:pt idx="6">
                  <c:v>6.1667700083047158E-2</c:v>
                </c:pt>
                <c:pt idx="7">
                  <c:v>7.1947563803448494E-2</c:v>
                </c:pt>
                <c:pt idx="8">
                  <c:v>8.2228021373619051E-2</c:v>
                </c:pt>
                <c:pt idx="9">
                  <c:v>9.2509072591235086E-2</c:v>
                </c:pt>
                <c:pt idx="10">
                  <c:v>0.10279071725298855</c:v>
                </c:pt>
                <c:pt idx="11">
                  <c:v>0.11307295515458593</c:v>
                </c:pt>
                <c:pt idx="12">
                  <c:v>0.12335578609074679</c:v>
                </c:pt>
                <c:pt idx="13">
                  <c:v>0.13363920985520261</c:v>
                </c:pt>
                <c:pt idx="14">
                  <c:v>0.14392322624069534</c:v>
                </c:pt>
                <c:pt idx="15">
                  <c:v>0.15420783503897628</c:v>
                </c:pt>
                <c:pt idx="16">
                  <c:v>0.16449303604080467</c:v>
                </c:pt>
                <c:pt idx="17">
                  <c:v>0.17477882903594638</c:v>
                </c:pt>
                <c:pt idx="18">
                  <c:v>0.18506521381317254</c:v>
                </c:pt>
                <c:pt idx="19">
                  <c:v>0.1953521901602584</c:v>
                </c:pt>
                <c:pt idx="20">
                  <c:v>0.20563975786398192</c:v>
                </c:pt>
                <c:pt idx="21">
                  <c:v>0.21592791671012257</c:v>
                </c:pt>
                <c:pt idx="22">
                  <c:v>0.22621666648345978</c:v>
                </c:pt>
                <c:pt idx="23">
                  <c:v>0.23650600696777174</c:v>
                </c:pt>
                <c:pt idx="24">
                  <c:v>0.24679593794583449</c:v>
                </c:pt>
                <c:pt idx="25">
                  <c:v>0.25708645919941975</c:v>
                </c:pt>
                <c:pt idx="26">
                  <c:v>0.2673775705092945</c:v>
                </c:pt>
                <c:pt idx="27">
                  <c:v>0.27766927165521904</c:v>
                </c:pt>
                <c:pt idx="28">
                  <c:v>0.28796156241594606</c:v>
                </c:pt>
                <c:pt idx="29">
                  <c:v>0.29825444256921907</c:v>
                </c:pt>
                <c:pt idx="30">
                  <c:v>0.30854791189177128</c:v>
                </c:pt>
                <c:pt idx="31">
                  <c:v>0.31884197015932414</c:v>
                </c:pt>
                <c:pt idx="32">
                  <c:v>0.32913661714658587</c:v>
                </c:pt>
                <c:pt idx="33">
                  <c:v>0.33943185262725084</c:v>
                </c:pt>
                <c:pt idx="34">
                  <c:v>0.34972767637399715</c:v>
                </c:pt>
                <c:pt idx="35">
                  <c:v>0.36002408815848641</c:v>
                </c:pt>
                <c:pt idx="36">
                  <c:v>0.37032108775136163</c:v>
                </c:pt>
                <c:pt idx="37">
                  <c:v>0.38061867492224633</c:v>
                </c:pt>
                <c:pt idx="38">
                  <c:v>0.39091684943974281</c:v>
                </c:pt>
                <c:pt idx="39">
                  <c:v>0.40121561107143155</c:v>
                </c:pt>
                <c:pt idx="40">
                  <c:v>0.41151495958386891</c:v>
                </c:pt>
                <c:pt idx="41">
                  <c:v>0.42181489474258671</c:v>
                </c:pt>
                <c:pt idx="42">
                  <c:v>0.43211541631209033</c:v>
                </c:pt>
                <c:pt idx="43">
                  <c:v>0.44241652405585746</c:v>
                </c:pt>
                <c:pt idx="44">
                  <c:v>0.45271821773633714</c:v>
                </c:pt>
                <c:pt idx="45">
                  <c:v>0.4630204971149478</c:v>
                </c:pt>
                <c:pt idx="46">
                  <c:v>0.47332336195207653</c:v>
                </c:pt>
                <c:pt idx="47">
                  <c:v>0.48362681200707758</c:v>
                </c:pt>
                <c:pt idx="48">
                  <c:v>0.49393084703827078</c:v>
                </c:pt>
                <c:pt idx="49">
                  <c:v>0.50423546680294029</c:v>
                </c:pt>
                <c:pt idx="50">
                  <c:v>0.51454067105733348</c:v>
                </c:pt>
                <c:pt idx="51">
                  <c:v>0.52484645955665965</c:v>
                </c:pt>
                <c:pt idx="52">
                  <c:v>0.53515283205508812</c:v>
                </c:pt>
                <c:pt idx="53">
                  <c:v>0.54545978830574748</c:v>
                </c:pt>
                <c:pt idx="54">
                  <c:v>0.55576732806072415</c:v>
                </c:pt>
                <c:pt idx="55">
                  <c:v>0.56607545107106072</c:v>
                </c:pt>
                <c:pt idx="56">
                  <c:v>0.57638415708675517</c:v>
                </c:pt>
                <c:pt idx="57">
                  <c:v>0.58669344585675864</c:v>
                </c:pt>
                <c:pt idx="58">
                  <c:v>0.59700331712897514</c:v>
                </c:pt>
                <c:pt idx="59">
                  <c:v>0.60731377065025982</c:v>
                </c:pt>
                <c:pt idx="60">
                  <c:v>0.61762480616641657</c:v>
                </c:pt>
                <c:pt idx="61">
                  <c:v>0.62793642342219891</c:v>
                </c:pt>
                <c:pt idx="62">
                  <c:v>0.63824862216130651</c:v>
                </c:pt>
                <c:pt idx="63">
                  <c:v>0.64856140212638458</c:v>
                </c:pt>
                <c:pt idx="64">
                  <c:v>0.65887476305902326</c:v>
                </c:pt>
                <c:pt idx="65">
                  <c:v>0.66918870469975555</c:v>
                </c:pt>
                <c:pt idx="66">
                  <c:v>0.6795032267880553</c:v>
                </c:pt>
                <c:pt idx="67">
                  <c:v>0.68981832906233742</c:v>
                </c:pt>
                <c:pt idx="68">
                  <c:v>0.70013401125995545</c:v>
                </c:pt>
                <c:pt idx="69">
                  <c:v>0.71045027311720055</c:v>
                </c:pt>
                <c:pt idx="70">
                  <c:v>0.72076711436929974</c:v>
                </c:pt>
                <c:pt idx="71">
                  <c:v>0.73108453475041546</c:v>
                </c:pt>
                <c:pt idx="72">
                  <c:v>0.7414025339936432</c:v>
                </c:pt>
                <c:pt idx="73">
                  <c:v>0.75172111183101065</c:v>
                </c:pt>
                <c:pt idx="74">
                  <c:v>0.76204026799347657</c:v>
                </c:pt>
                <c:pt idx="75">
                  <c:v>0.77236000221092871</c:v>
                </c:pt>
                <c:pt idx="76">
                  <c:v>0.7826803142121832</c:v>
                </c:pt>
                <c:pt idx="77">
                  <c:v>0.79300120372498295</c:v>
                </c:pt>
                <c:pt idx="78">
                  <c:v>0.80332267047599604</c:v>
                </c:pt>
                <c:pt idx="79">
                  <c:v>0.81364471419081441</c:v>
                </c:pt>
                <c:pt idx="80">
                  <c:v>0.82396733459395277</c:v>
                </c:pt>
                <c:pt idx="81">
                  <c:v>0.83429053140884757</c:v>
                </c:pt>
                <c:pt idx="82">
                  <c:v>0.84461430435785434</c:v>
                </c:pt>
                <c:pt idx="83">
                  <c:v>0.85493865316224793</c:v>
                </c:pt>
                <c:pt idx="84">
                  <c:v>0.8652635775422195</c:v>
                </c:pt>
                <c:pt idx="85">
                  <c:v>0.87558907721687718</c:v>
                </c:pt>
                <c:pt idx="86">
                  <c:v>0.88591515190424241</c:v>
                </c:pt>
                <c:pt idx="87">
                  <c:v>0.89624180132125053</c:v>
                </c:pt>
                <c:pt idx="88">
                  <c:v>0.90656902518374849</c:v>
                </c:pt>
                <c:pt idx="89">
                  <c:v>0.91689682320649313</c:v>
                </c:pt>
                <c:pt idx="90">
                  <c:v>0.92722519510315071</c:v>
                </c:pt>
                <c:pt idx="91">
                  <c:v>0.93755414058629494</c:v>
                </c:pt>
                <c:pt idx="92">
                  <c:v>0.94788365936740593</c:v>
                </c:pt>
                <c:pt idx="93">
                  <c:v>0.95821375115686869</c:v>
                </c:pt>
                <c:pt idx="94">
                  <c:v>0.96854441566397165</c:v>
                </c:pt>
                <c:pt idx="95">
                  <c:v>0.97887565259690512</c:v>
                </c:pt>
                <c:pt idx="96">
                  <c:v>0.98920746166276086</c:v>
                </c:pt>
                <c:pt idx="97">
                  <c:v>0.99953984256752937</c:v>
                </c:pt>
                <c:pt idx="98">
                  <c:v>1.0098727950160995</c:v>
                </c:pt>
                <c:pt idx="99">
                  <c:v>1.0202063187122565</c:v>
                </c:pt>
                <c:pt idx="100">
                  <c:v>1.0305404133586815</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60"/>
</file>

<file path=xl/ctrlProps/ctrlProp5.xml><?xml version="1.0" encoding="utf-8"?>
<formControlPr xmlns="http://schemas.microsoft.com/office/spreadsheetml/2009/9/main" objectType="Spin" dx="16" fmlaLink="$E$8" max="58" page="10" val="21"/>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2" val="0"/>
</file>

<file path=xl/ctrlProps/ctrlProp8.xml><?xml version="1.0" encoding="utf-8"?>
<formControlPr xmlns="http://schemas.microsoft.com/office/spreadsheetml/2009/9/main" objectType="Drop" dropLines="5" dropStyle="combo" dx="16" fmlaLink="'Variable Management'!$U$12" fmlaRange="'Variable Management'!$T$8:$T$11" noThreeD="1" sel="1" val="0"/>
</file>

<file path=xl/ctrlProps/ctrlProp9.xml><?xml version="1.0" encoding="utf-8"?>
<formControlPr xmlns="http://schemas.microsoft.com/office/spreadsheetml/2009/9/main" objectType="Drop" dropLines="2" dropStyle="combo" dx="16" fmlaLink="'Variable Management'!$X$10" fmlaRange="'Variable Management'!$W$8:$W$9" noThreeD="1" sel="1" val="0"/>
</file>

<file path=xl/ctrlProps/ctrlProp10.xml><?xml version="1.0" encoding="utf-8"?>
<formControlPr xmlns="http://schemas.microsoft.com/office/spreadsheetml/2009/9/main" objectType="Spin" dx="16" fmlaLink="$J$63" max="100" min="5" page="10" val="60"/>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1" val="0"/>
</file>

<file path=xl/ctrlProps/ctrlProp13.xml><?xml version="1.0" encoding="utf-8"?>
<formControlPr xmlns="http://schemas.microsoft.com/office/spreadsheetml/2009/9/main" objectType="Drop" dropLines="5" dropStyle="combo" dx="16" fmlaLink="'Variable Management'!$Y$25" fmlaRange="'Variable Management'!$X$20:$X$24" noThreeD="1" sel="2"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314325</xdr:colOff>
          <xdr:row>69</xdr:row>
          <xdr:rowOff>76200</xdr:rowOff>
        </xdr:from>
        <xdr:to>
          <xdr:col>2</xdr:col>
          <xdr:colOff>895350</xdr:colOff>
          <xdr:row>71</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4819650</xdr:colOff>
          <xdr:row>0</xdr:row>
          <xdr:rowOff>476250</xdr:rowOff>
        </xdr:from>
        <xdr:to>
          <xdr:col>16</xdr:col>
          <xdr:colOff>5200650</xdr:colOff>
          <xdr:row>1</xdr:row>
          <xdr:rowOff>133350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14322"/>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14323"/>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59.2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76°</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9525</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7</xdr:row>
          <xdr:rowOff>9525</xdr:rowOff>
        </xdr:from>
        <xdr:to>
          <xdr:col>5</xdr:col>
          <xdr:colOff>304800</xdr:colOff>
          <xdr:row>8</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371475</xdr:colOff>
          <xdr:row>77</xdr:row>
          <xdr:rowOff>28575</xdr:rowOff>
        </xdr:from>
        <xdr:to>
          <xdr:col>13</xdr:col>
          <xdr:colOff>428625</xdr:colOff>
          <xdr:row>78</xdr:row>
          <xdr:rowOff>104775</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1</xdr:col>
          <xdr:colOff>476250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14324"/>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514350</xdr:colOff>
          <xdr:row>5</xdr:row>
          <xdr:rowOff>9525</xdr:rowOff>
        </xdr:from>
        <xdr:to>
          <xdr:col>5</xdr:col>
          <xdr:colOff>95250</xdr:colOff>
          <xdr:row>6</xdr:row>
          <xdr:rowOff>9525</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56</xdr:row>
          <xdr:rowOff>0</xdr:rowOff>
        </xdr:from>
        <xdr:to>
          <xdr:col>1</xdr:col>
          <xdr:colOff>76200</xdr:colOff>
          <xdr:row>56</xdr:row>
          <xdr:rowOff>180975</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62</xdr:row>
          <xdr:rowOff>0</xdr:rowOff>
        </xdr:from>
        <xdr:to>
          <xdr:col>10</xdr:col>
          <xdr:colOff>180975</xdr:colOff>
          <xdr:row>62</xdr:row>
          <xdr:rowOff>180975</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xdr:colOff>
          <xdr:row>41</xdr:row>
          <xdr:rowOff>76200</xdr:rowOff>
        </xdr:from>
        <xdr:to>
          <xdr:col>12</xdr:col>
          <xdr:colOff>333375</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95.3%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94.4%</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102</xdr:row>
          <xdr:rowOff>0</xdr:rowOff>
        </xdr:from>
        <xdr:to>
          <xdr:col>2</xdr:col>
          <xdr:colOff>9525</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75kΩ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20V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4mΩ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0.33nF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4mΩ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120µF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20V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0.47nF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60.4kΩ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371475</xdr:colOff>
          <xdr:row>4</xdr:row>
          <xdr:rowOff>9525</xdr:rowOff>
        </xdr:from>
        <xdr:to>
          <xdr:col>7</xdr:col>
          <xdr:colOff>514350</xdr:colOff>
          <xdr:row>4</xdr:row>
          <xdr:rowOff>238125</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219075</xdr:colOff>
          <xdr:row>15</xdr:row>
          <xdr:rowOff>9525</xdr:rowOff>
        </xdr:from>
        <xdr:to>
          <xdr:col>7</xdr:col>
          <xdr:colOff>476250</xdr:colOff>
          <xdr:row>15</xdr:row>
          <xdr:rowOff>238125</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741"/>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75kΩ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50µF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20V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5A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4mΩ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0.33nF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20V...26V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4mΩ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120µF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20V</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5A</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0.47nF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60.4kΩ</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Css1</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Css2</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Rc2</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Cc3</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Cc4</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1925300" y="4057650"/>
          <a:ext cx="6286500" cy="51625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0.33nF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39.3kΩ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1.21kΩ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75kΩ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20V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76°</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76°</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95.3%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94.4%</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39.3kΩ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zoomScaleNormal="100" zoomScaleSheetLayoutView="100" workbookViewId="0">
      <selection activeCell="E8" sqref="E8"/>
    </sheetView>
  </sheetViews>
  <sheetFormatPr defaultColWidth="9.140625" defaultRowHeight="12.75" x14ac:dyDescent="0.2"/>
  <cols>
    <col min="1" max="1" width="8.28515625" style="189" customWidth="1"/>
    <col min="2" max="2" width="8.28515625" style="79" customWidth="1"/>
    <col min="3" max="3" width="13.5703125" style="79" customWidth="1"/>
    <col min="4" max="4" width="8.28515625" style="79" customWidth="1"/>
    <col min="5" max="5" width="6.85546875" style="79" customWidth="1"/>
    <col min="6" max="6" width="7.5703125" style="79" customWidth="1"/>
    <col min="7" max="7" width="12.5703125" style="79" customWidth="1"/>
    <col min="8" max="8" width="11.85546875" style="79" customWidth="1"/>
    <col min="9" max="9" width="9.140625" style="79" customWidth="1"/>
    <col min="10" max="10" width="6.85546875" style="79" customWidth="1"/>
    <col min="11" max="11" width="7.5703125" style="79" customWidth="1"/>
    <col min="12" max="12" width="12.42578125" style="79" bestFit="1" customWidth="1"/>
    <col min="13" max="15" width="9.140625" style="79"/>
    <col min="16" max="16" width="10.140625" style="79" customWidth="1"/>
    <col min="17" max="17" width="89" style="79" customWidth="1"/>
    <col min="18" max="18" width="3.140625" style="79" customWidth="1"/>
    <col min="19" max="19" width="10" style="79" bestFit="1" customWidth="1"/>
    <col min="20" max="16384" width="9.140625" style="79"/>
  </cols>
  <sheetData>
    <row r="1" spans="1:18" ht="47.25" customHeight="1" x14ac:dyDescent="0.2">
      <c r="A1" s="669" t="s">
        <v>850</v>
      </c>
      <c r="B1" s="670"/>
      <c r="C1" s="670"/>
      <c r="D1" s="670"/>
      <c r="E1" s="670"/>
      <c r="F1" s="670"/>
      <c r="G1" s="670"/>
      <c r="H1" s="670"/>
      <c r="I1" s="670"/>
      <c r="J1" s="670"/>
      <c r="K1" s="670"/>
      <c r="L1" s="670"/>
      <c r="M1" s="670"/>
      <c r="N1" s="670"/>
      <c r="O1" s="670"/>
      <c r="P1" s="670"/>
      <c r="Q1" s="670"/>
      <c r="R1" s="500"/>
    </row>
    <row r="2" spans="1:18" ht="14.1" customHeight="1" x14ac:dyDescent="0.45">
      <c r="A2" s="503"/>
      <c r="B2" s="504"/>
      <c r="C2" s="504"/>
      <c r="D2" s="504"/>
      <c r="E2" s="504"/>
      <c r="F2" s="504"/>
      <c r="G2" s="504"/>
      <c r="H2" s="504"/>
      <c r="I2" s="504"/>
      <c r="J2" s="504"/>
      <c r="K2" s="504"/>
      <c r="L2" s="504"/>
      <c r="M2" s="504"/>
      <c r="N2" s="504"/>
      <c r="O2" s="518" t="s">
        <v>614</v>
      </c>
      <c r="P2" s="504"/>
      <c r="Q2" s="504"/>
      <c r="R2" s="500"/>
    </row>
    <row r="3" spans="1:18" ht="15.95" customHeight="1" x14ac:dyDescent="0.4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35">
      <c r="A4" s="508"/>
      <c r="B4" s="509"/>
      <c r="C4" s="510"/>
      <c r="D4" s="510"/>
      <c r="E4" s="510"/>
      <c r="F4" s="510"/>
      <c r="G4" s="510"/>
      <c r="H4" s="510"/>
      <c r="I4" s="510"/>
      <c r="J4" s="510"/>
      <c r="K4" s="510"/>
      <c r="L4" s="510"/>
      <c r="M4" s="515"/>
      <c r="N4" s="515"/>
      <c r="O4" s="515"/>
      <c r="P4" s="515"/>
      <c r="Q4" s="516"/>
      <c r="R4" s="500"/>
    </row>
    <row r="5" spans="1:18" ht="20.100000000000001" customHeight="1" thickBot="1" x14ac:dyDescent="0.35">
      <c r="A5" s="184" t="s">
        <v>225</v>
      </c>
      <c r="B5" s="119"/>
      <c r="C5" s="80"/>
      <c r="D5" s="80"/>
      <c r="E5" s="82"/>
      <c r="F5" s="80"/>
      <c r="G5" s="108"/>
      <c r="H5" s="83"/>
      <c r="I5" s="83"/>
      <c r="J5" s="83"/>
      <c r="K5" s="83"/>
      <c r="L5" s="83"/>
      <c r="M5" s="83"/>
      <c r="N5" s="83"/>
      <c r="O5" s="83"/>
      <c r="P5" s="83"/>
      <c r="Q5" s="107"/>
      <c r="R5" s="500"/>
    </row>
    <row r="6" spans="1:18" ht="15.75" customHeight="1" x14ac:dyDescent="0.2">
      <c r="A6" s="267"/>
      <c r="B6" s="268"/>
      <c r="C6" s="561"/>
      <c r="D6" s="561"/>
      <c r="E6" s="561"/>
      <c r="F6" s="562"/>
      <c r="G6" s="130"/>
      <c r="H6" s="128"/>
      <c r="I6" s="83"/>
      <c r="J6" s="83"/>
      <c r="K6" s="83"/>
      <c r="L6" s="83"/>
      <c r="M6" s="83"/>
      <c r="N6" s="83"/>
      <c r="O6" s="83"/>
      <c r="P6" s="83"/>
      <c r="Q6" s="107"/>
      <c r="R6" s="500"/>
    </row>
    <row r="7" spans="1:18" ht="13.5" customHeight="1" x14ac:dyDescent="0.2">
      <c r="A7" s="258"/>
      <c r="B7" s="257"/>
      <c r="C7" s="259"/>
      <c r="D7" s="271" t="s">
        <v>791</v>
      </c>
      <c r="E7" s="272">
        <v>20</v>
      </c>
      <c r="F7" s="273" t="s">
        <v>0</v>
      </c>
      <c r="G7" s="130"/>
      <c r="H7" s="128"/>
      <c r="I7" s="83"/>
      <c r="J7" s="83"/>
      <c r="K7" s="83"/>
      <c r="L7" s="83"/>
      <c r="M7" s="83"/>
      <c r="N7" s="83"/>
      <c r="O7" s="83"/>
      <c r="P7" s="83"/>
      <c r="Q7" s="107"/>
      <c r="R7" s="500"/>
    </row>
    <row r="8" spans="1:18" ht="13.5" customHeight="1" x14ac:dyDescent="0.2">
      <c r="A8" s="258"/>
      <c r="B8" s="257"/>
      <c r="C8" s="259"/>
      <c r="D8" s="271" t="s">
        <v>792</v>
      </c>
      <c r="E8" s="272">
        <v>21</v>
      </c>
      <c r="F8" s="287" t="s">
        <v>0</v>
      </c>
      <c r="G8" s="130"/>
      <c r="H8" s="128"/>
      <c r="I8" s="83"/>
      <c r="J8" s="83"/>
      <c r="K8" s="83"/>
      <c r="L8" s="83"/>
      <c r="M8" s="83"/>
      <c r="N8" s="83"/>
      <c r="O8" s="83"/>
      <c r="P8" s="83"/>
      <c r="Q8" s="107"/>
      <c r="R8" s="500"/>
    </row>
    <row r="9" spans="1:18" ht="13.5" customHeight="1" thickBot="1" x14ac:dyDescent="0.25">
      <c r="A9" s="258"/>
      <c r="B9" s="257"/>
      <c r="C9" s="259"/>
      <c r="D9" s="271" t="s">
        <v>793</v>
      </c>
      <c r="E9" s="272">
        <v>26</v>
      </c>
      <c r="F9" s="273" t="s">
        <v>0</v>
      </c>
      <c r="G9" s="130"/>
      <c r="H9" s="128"/>
      <c r="I9" s="83"/>
      <c r="J9" s="83"/>
      <c r="K9" s="83"/>
      <c r="L9" s="83"/>
      <c r="M9" s="83"/>
      <c r="N9" s="83"/>
      <c r="O9" s="83"/>
      <c r="P9" s="83"/>
      <c r="Q9" s="107"/>
      <c r="R9" s="500"/>
    </row>
    <row r="10" spans="1:18" ht="13.5" customHeight="1" x14ac:dyDescent="0.2">
      <c r="A10" s="258"/>
      <c r="B10" s="257"/>
      <c r="C10" s="259"/>
      <c r="D10" s="271" t="s">
        <v>803</v>
      </c>
      <c r="E10" s="272">
        <v>20</v>
      </c>
      <c r="F10" s="273" t="s">
        <v>0</v>
      </c>
      <c r="G10" s="566"/>
      <c r="H10" s="561"/>
      <c r="I10" s="567" t="s">
        <v>637</v>
      </c>
      <c r="J10" s="568">
        <v>20</v>
      </c>
      <c r="K10" s="569" t="s">
        <v>0</v>
      </c>
      <c r="L10" s="83"/>
      <c r="M10" s="83"/>
      <c r="N10" s="83"/>
      <c r="O10" s="83"/>
      <c r="P10" s="83"/>
      <c r="Q10" s="107"/>
      <c r="R10" s="500"/>
    </row>
    <row r="11" spans="1:18" ht="15.75" customHeight="1" thickBot="1" x14ac:dyDescent="0.25">
      <c r="A11" s="258"/>
      <c r="B11" s="257"/>
      <c r="C11" s="259"/>
      <c r="D11" s="271" t="s">
        <v>804</v>
      </c>
      <c r="E11" s="272">
        <v>5</v>
      </c>
      <c r="F11" s="273" t="s">
        <v>1</v>
      </c>
      <c r="G11" s="564"/>
      <c r="H11" s="570"/>
      <c r="I11" s="571" t="s">
        <v>638</v>
      </c>
      <c r="J11" s="572">
        <v>5</v>
      </c>
      <c r="K11" s="573" t="s">
        <v>1</v>
      </c>
      <c r="L11" s="83"/>
      <c r="M11" s="83"/>
      <c r="N11" s="83"/>
      <c r="O11" s="83"/>
      <c r="P11" s="83"/>
      <c r="Q11" s="107"/>
      <c r="R11" s="500"/>
    </row>
    <row r="12" spans="1:18" ht="13.5" customHeight="1" x14ac:dyDescent="0.2">
      <c r="A12" s="258"/>
      <c r="B12" s="257"/>
      <c r="C12" s="259"/>
      <c r="D12" s="271" t="s">
        <v>794</v>
      </c>
      <c r="E12" s="274">
        <v>2000</v>
      </c>
      <c r="F12" s="273" t="s">
        <v>2</v>
      </c>
      <c r="G12" s="130"/>
      <c r="H12" s="128"/>
      <c r="I12" s="83"/>
      <c r="J12" s="83"/>
      <c r="K12" s="83"/>
      <c r="L12" s="83"/>
      <c r="M12" s="83"/>
      <c r="N12" s="83"/>
      <c r="O12" s="83"/>
      <c r="P12" s="83"/>
      <c r="Q12" s="107"/>
      <c r="R12" s="500"/>
    </row>
    <row r="13" spans="1:18" ht="13.5" customHeight="1" x14ac:dyDescent="0.2">
      <c r="A13" s="609"/>
      <c r="B13" s="257"/>
      <c r="C13" s="259"/>
      <c r="D13" s="259" t="s">
        <v>281</v>
      </c>
      <c r="E13" s="259">
        <f>IF('Standard Value Calculator'!O4/1000&gt;288, "N/A",'Standard Value Calculator'!O4/1000)</f>
        <v>11</v>
      </c>
      <c r="F13" s="261" t="s">
        <v>50</v>
      </c>
      <c r="G13" s="130"/>
      <c r="H13" s="128"/>
      <c r="I13" s="83"/>
      <c r="J13" s="83"/>
      <c r="K13" s="83"/>
      <c r="L13" s="83"/>
      <c r="M13" s="83"/>
      <c r="N13" s="83"/>
      <c r="O13" s="83"/>
      <c r="P13" s="83"/>
      <c r="Q13" s="107"/>
      <c r="R13" s="500"/>
    </row>
    <row r="14" spans="1:18" ht="17.25" customHeight="1" thickBot="1" x14ac:dyDescent="0.2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2">
      <c r="A15" s="609"/>
      <c r="B15" s="257"/>
      <c r="C15" s="259"/>
      <c r="D15" s="647"/>
      <c r="E15" s="650"/>
      <c r="F15" s="649"/>
      <c r="G15" s="130"/>
      <c r="H15" s="128"/>
      <c r="I15" s="83"/>
      <c r="J15" s="83"/>
      <c r="K15" s="83"/>
      <c r="L15" s="83"/>
      <c r="M15" s="83"/>
      <c r="N15" s="83"/>
      <c r="O15" s="83"/>
      <c r="P15" s="83"/>
      <c r="Q15" s="107"/>
      <c r="R15" s="500"/>
    </row>
    <row r="16" spans="1:18" ht="20.100000000000001" customHeight="1" thickBot="1" x14ac:dyDescent="0.35">
      <c r="A16" s="184" t="s">
        <v>818</v>
      </c>
      <c r="B16" s="132"/>
      <c r="C16" s="128"/>
      <c r="D16" s="128"/>
      <c r="E16" s="128"/>
      <c r="F16" s="128"/>
      <c r="G16" s="130"/>
      <c r="H16" s="128"/>
      <c r="I16" s="83"/>
      <c r="J16" s="83"/>
      <c r="K16" s="83"/>
      <c r="L16" s="83"/>
      <c r="M16" s="83"/>
      <c r="N16" s="83"/>
      <c r="O16" s="83"/>
      <c r="P16" s="83"/>
      <c r="Q16" s="107"/>
      <c r="R16" s="500"/>
    </row>
    <row r="17" spans="1:18" ht="15" customHeight="1" x14ac:dyDescent="0.25">
      <c r="A17" s="267"/>
      <c r="B17" s="154"/>
      <c r="C17" s="154"/>
      <c r="D17" s="156" t="s">
        <v>653</v>
      </c>
      <c r="E17" s="302">
        <v>16</v>
      </c>
      <c r="F17" s="157" t="s">
        <v>1</v>
      </c>
      <c r="G17" s="566"/>
      <c r="H17" s="175"/>
      <c r="I17" s="156" t="s">
        <v>653</v>
      </c>
      <c r="J17" s="302">
        <v>16</v>
      </c>
      <c r="K17" s="157" t="s">
        <v>1</v>
      </c>
      <c r="L17" s="83"/>
      <c r="M17" s="83"/>
      <c r="N17" s="83"/>
      <c r="O17" s="83"/>
      <c r="P17" s="83"/>
      <c r="Q17" s="107"/>
      <c r="R17" s="500"/>
    </row>
    <row r="18" spans="1:18" ht="15" customHeight="1" x14ac:dyDescent="0.2">
      <c r="A18" s="258"/>
      <c r="B18" s="128"/>
      <c r="C18" s="128"/>
      <c r="D18" s="125" t="s">
        <v>308</v>
      </c>
      <c r="E18" s="304">
        <f>Rs_ideal*1000</f>
        <v>4.5176352823411641</v>
      </c>
      <c r="F18" s="163" t="s">
        <v>49</v>
      </c>
      <c r="G18" s="130"/>
      <c r="H18" s="128"/>
      <c r="I18" s="125" t="s">
        <v>308</v>
      </c>
      <c r="J18" s="304">
        <f>Rs2_ideal*1000</f>
        <v>4.517624198649143</v>
      </c>
      <c r="K18" s="163" t="s">
        <v>49</v>
      </c>
      <c r="L18" s="83"/>
      <c r="M18" s="83"/>
      <c r="N18" s="83"/>
      <c r="O18" s="83"/>
      <c r="P18" s="83"/>
      <c r="Q18" s="107"/>
      <c r="R18" s="500"/>
    </row>
    <row r="19" spans="1:18" ht="13.7" customHeight="1" x14ac:dyDescent="0.25">
      <c r="A19" s="258"/>
      <c r="B19" s="128"/>
      <c r="C19" s="128"/>
      <c r="D19" s="153" t="s">
        <v>307</v>
      </c>
      <c r="E19" s="129">
        <v>4</v>
      </c>
      <c r="F19" s="158" t="s">
        <v>49</v>
      </c>
      <c r="G19" s="130"/>
      <c r="H19" s="128"/>
      <c r="I19" s="153" t="s">
        <v>676</v>
      </c>
      <c r="J19" s="129">
        <v>4</v>
      </c>
      <c r="K19" s="158" t="s">
        <v>49</v>
      </c>
      <c r="L19" s="83"/>
      <c r="M19" s="83"/>
      <c r="N19" s="83"/>
      <c r="O19" s="83"/>
      <c r="P19" s="83"/>
      <c r="Q19" s="107"/>
      <c r="R19" s="500"/>
    </row>
    <row r="20" spans="1:18" ht="13.5" customHeight="1" x14ac:dyDescent="0.3">
      <c r="A20" s="258"/>
      <c r="B20" s="128"/>
      <c r="C20" s="128"/>
      <c r="D20" s="529" t="s">
        <v>693</v>
      </c>
      <c r="E20" s="555">
        <f>'Variable Management'!B95</f>
        <v>18.25</v>
      </c>
      <c r="F20" s="163" t="s">
        <v>1</v>
      </c>
      <c r="G20" s="130"/>
      <c r="H20" s="128"/>
      <c r="I20" s="529" t="s">
        <v>673</v>
      </c>
      <c r="J20" s="555">
        <f>'Variable Management'!D95</f>
        <v>18.25</v>
      </c>
      <c r="K20" s="163" t="s">
        <v>1</v>
      </c>
      <c r="L20" s="83"/>
      <c r="M20" s="83"/>
      <c r="N20" s="83"/>
      <c r="O20" s="83"/>
      <c r="P20" s="83"/>
      <c r="Q20" s="107"/>
      <c r="R20" s="500"/>
    </row>
    <row r="21" spans="1:18" ht="13.7" customHeight="1" x14ac:dyDescent="0.3">
      <c r="A21" s="258"/>
      <c r="B21" s="128"/>
      <c r="C21" s="128"/>
      <c r="D21" s="529" t="s">
        <v>668</v>
      </c>
      <c r="E21" s="530">
        <f>'Variable Management'!B105</f>
        <v>1.3322499999999999</v>
      </c>
      <c r="F21" s="163" t="s">
        <v>116</v>
      </c>
      <c r="G21" s="130"/>
      <c r="H21" s="128"/>
      <c r="I21" s="529" t="s">
        <v>674</v>
      </c>
      <c r="J21" s="530">
        <f>'Variable Management'!D105</f>
        <v>1.3249633333333333</v>
      </c>
      <c r="K21" s="163" t="s">
        <v>116</v>
      </c>
      <c r="L21" s="83"/>
      <c r="M21" s="83"/>
      <c r="N21" s="83"/>
      <c r="O21" s="83"/>
      <c r="P21" s="83"/>
      <c r="Q21" s="107"/>
      <c r="R21" s="500"/>
    </row>
    <row r="22" spans="1:18" ht="13.7" customHeight="1" x14ac:dyDescent="0.3">
      <c r="A22" s="258"/>
      <c r="B22" s="128"/>
      <c r="C22" s="113"/>
      <c r="D22" s="303" t="s">
        <v>285</v>
      </c>
      <c r="E22" s="260">
        <f>'Variable Management'!B97</f>
        <v>18.25</v>
      </c>
      <c r="F22" s="261" t="s">
        <v>1</v>
      </c>
      <c r="G22" s="130"/>
      <c r="H22" s="128"/>
      <c r="I22" s="303" t="s">
        <v>285</v>
      </c>
      <c r="J22" s="260">
        <f>'Variable Management'!D97</f>
        <v>18.2</v>
      </c>
      <c r="K22" s="261" t="s">
        <v>1</v>
      </c>
      <c r="L22" s="83"/>
      <c r="M22" s="83"/>
      <c r="N22" s="83"/>
      <c r="O22" s="83"/>
      <c r="P22" s="83"/>
      <c r="Q22" s="107"/>
      <c r="R22" s="500"/>
    </row>
    <row r="23" spans="1:18" ht="13.7" customHeight="1" x14ac:dyDescent="0.3">
      <c r="A23" s="258"/>
      <c r="B23" s="128"/>
      <c r="C23" s="125" t="s">
        <v>517</v>
      </c>
      <c r="D23" s="303" t="s">
        <v>286</v>
      </c>
      <c r="E23" s="260">
        <f>'Variable Management'!B98</f>
        <v>18.091103710751664</v>
      </c>
      <c r="F23" s="261" t="s">
        <v>1</v>
      </c>
      <c r="G23" s="130"/>
      <c r="H23" s="125" t="s">
        <v>672</v>
      </c>
      <c r="I23" s="303" t="s">
        <v>286</v>
      </c>
      <c r="J23" s="260">
        <f>'Variable Management'!D98</f>
        <v>18.091064065968919</v>
      </c>
      <c r="K23" s="261" t="s">
        <v>1</v>
      </c>
      <c r="L23" s="83"/>
      <c r="M23" s="83"/>
      <c r="N23" s="83"/>
      <c r="O23" s="83"/>
      <c r="P23" s="83"/>
      <c r="Q23" s="107"/>
      <c r="R23" s="500"/>
    </row>
    <row r="24" spans="1:18" ht="13.5" customHeight="1" thickBot="1" x14ac:dyDescent="0.35">
      <c r="A24" s="282"/>
      <c r="B24" s="176"/>
      <c r="C24" s="176"/>
      <c r="D24" s="574" t="s">
        <v>287</v>
      </c>
      <c r="E24" s="575">
        <f>'Variable Management'!B99</f>
        <v>17.479823212913143</v>
      </c>
      <c r="F24" s="284" t="s">
        <v>1</v>
      </c>
      <c r="G24" s="564"/>
      <c r="H24" s="176"/>
      <c r="I24" s="574" t="s">
        <v>287</v>
      </c>
      <c r="J24" s="575">
        <f>'Variable Management'!D99</f>
        <v>17.479631053036126</v>
      </c>
      <c r="K24" s="284" t="s">
        <v>1</v>
      </c>
      <c r="L24" s="83"/>
      <c r="M24" s="83"/>
      <c r="N24" s="83"/>
      <c r="O24" s="83"/>
      <c r="P24" s="83"/>
      <c r="Q24" s="107"/>
      <c r="R24" s="500"/>
    </row>
    <row r="25" spans="1:18" ht="17.25" customHeight="1" x14ac:dyDescent="0.2">
      <c r="A25" s="609"/>
      <c r="B25" s="257"/>
      <c r="C25" s="259"/>
      <c r="D25" s="647"/>
      <c r="E25" s="650"/>
      <c r="F25" s="649"/>
      <c r="G25" s="130"/>
      <c r="H25" s="128"/>
      <c r="I25" s="83"/>
      <c r="J25" s="83"/>
      <c r="K25" s="83"/>
      <c r="L25" s="83"/>
      <c r="M25" s="83"/>
      <c r="N25" s="83"/>
      <c r="O25" s="83"/>
      <c r="P25" s="83"/>
      <c r="Q25" s="107"/>
      <c r="R25" s="500"/>
    </row>
    <row r="26" spans="1:18" ht="19.5" customHeight="1" thickBot="1" x14ac:dyDescent="0.35">
      <c r="A26" s="184" t="s">
        <v>819</v>
      </c>
      <c r="B26" s="132"/>
      <c r="C26" s="133"/>
      <c r="D26" s="133"/>
      <c r="E26" s="134"/>
      <c r="F26" s="133"/>
      <c r="G26" s="130"/>
      <c r="H26" s="128"/>
      <c r="I26" s="83"/>
      <c r="J26" s="83"/>
      <c r="K26" s="83"/>
      <c r="L26" s="83"/>
      <c r="M26" s="83"/>
      <c r="N26" s="83"/>
      <c r="O26" s="83"/>
      <c r="P26" s="83"/>
      <c r="Q26" s="107"/>
      <c r="R26" s="500"/>
    </row>
    <row r="27" spans="1:18" ht="13.5" customHeight="1" x14ac:dyDescent="0.2">
      <c r="A27" s="185"/>
      <c r="B27" s="154"/>
      <c r="C27" s="155"/>
      <c r="D27" s="155" t="s">
        <v>702</v>
      </c>
      <c r="E27" s="560">
        <f>Lopt*1000000</f>
        <v>1.6666666666666667</v>
      </c>
      <c r="F27" s="162" t="s">
        <v>217</v>
      </c>
      <c r="G27" s="563"/>
      <c r="H27" s="175"/>
      <c r="I27" s="155" t="s">
        <v>632</v>
      </c>
      <c r="J27" s="560">
        <f>Lopt2*1000000</f>
        <v>1.6666666666666667</v>
      </c>
      <c r="K27" s="162" t="s">
        <v>217</v>
      </c>
      <c r="L27" s="83"/>
      <c r="M27" s="83"/>
      <c r="N27" s="83"/>
      <c r="O27" s="83"/>
      <c r="P27" s="83"/>
      <c r="Q27" s="107"/>
      <c r="R27" s="500"/>
    </row>
    <row r="28" spans="1:18" ht="13.5" customHeight="1" x14ac:dyDescent="0.25">
      <c r="A28" s="127"/>
      <c r="B28" s="128"/>
      <c r="C28" s="125"/>
      <c r="D28" s="153" t="s">
        <v>634</v>
      </c>
      <c r="E28" s="129">
        <v>1.5</v>
      </c>
      <c r="F28" s="158" t="s">
        <v>217</v>
      </c>
      <c r="G28" s="130"/>
      <c r="H28" s="125"/>
      <c r="I28" s="153" t="s">
        <v>633</v>
      </c>
      <c r="J28" s="129">
        <v>1.5</v>
      </c>
      <c r="K28" s="158" t="s">
        <v>217</v>
      </c>
      <c r="L28" s="83"/>
      <c r="M28" s="83"/>
      <c r="N28" s="83"/>
      <c r="O28" s="83"/>
      <c r="P28" s="83"/>
      <c r="Q28" s="107"/>
      <c r="R28" s="500"/>
    </row>
    <row r="29" spans="1:18" ht="13.5" customHeight="1" x14ac:dyDescent="0.2">
      <c r="A29" s="127"/>
      <c r="B29" s="128"/>
      <c r="C29" s="125"/>
      <c r="D29" s="153" t="s">
        <v>635</v>
      </c>
      <c r="E29" s="129">
        <v>4</v>
      </c>
      <c r="F29" s="158" t="s">
        <v>49</v>
      </c>
      <c r="G29" s="130"/>
      <c r="H29" s="125"/>
      <c r="I29" s="153" t="s">
        <v>636</v>
      </c>
      <c r="J29" s="129">
        <v>5</v>
      </c>
      <c r="K29" s="158" t="s">
        <v>49</v>
      </c>
      <c r="L29" s="83"/>
      <c r="M29" s="83"/>
      <c r="N29" s="83"/>
      <c r="O29" s="83"/>
      <c r="P29" s="83"/>
      <c r="Q29" s="107"/>
      <c r="R29" s="500"/>
    </row>
    <row r="30" spans="1:18" ht="16.5" customHeight="1" thickBot="1" x14ac:dyDescent="0.25">
      <c r="A30" s="282"/>
      <c r="B30" s="283"/>
      <c r="C30" s="281"/>
      <c r="D30" s="281" t="s">
        <v>306</v>
      </c>
      <c r="E30" s="565">
        <f>'Variable Management'!B68*100</f>
        <v>6.355851569933396</v>
      </c>
      <c r="F30" s="284" t="s">
        <v>156</v>
      </c>
      <c r="G30" s="564"/>
      <c r="H30" s="176"/>
      <c r="I30" s="281" t="s">
        <v>675</v>
      </c>
      <c r="J30" s="565">
        <f>'Variable Management'!D68*100</f>
        <v>6.3574373612432611</v>
      </c>
      <c r="K30" s="284" t="s">
        <v>156</v>
      </c>
      <c r="L30" s="83"/>
      <c r="M30" s="83"/>
      <c r="N30" s="83"/>
      <c r="O30" s="83"/>
      <c r="P30" s="83"/>
      <c r="Q30" s="107"/>
      <c r="R30" s="500"/>
    </row>
    <row r="31" spans="1:18" ht="14.1" customHeight="1" x14ac:dyDescent="0.2">
      <c r="A31" s="127"/>
      <c r="B31" s="128"/>
      <c r="C31" s="135"/>
      <c r="D31" s="135"/>
      <c r="E31" s="135"/>
      <c r="F31" s="135"/>
      <c r="G31" s="128"/>
      <c r="H31" s="128"/>
      <c r="I31" s="83"/>
      <c r="J31" s="83"/>
      <c r="K31" s="83"/>
      <c r="L31" s="83"/>
      <c r="M31" s="83"/>
      <c r="N31" s="83"/>
      <c r="O31" s="83"/>
      <c r="P31" s="83"/>
      <c r="Q31" s="107"/>
      <c r="R31" s="500"/>
    </row>
    <row r="32" spans="1:18" ht="19.5" thickBot="1" x14ac:dyDescent="0.35">
      <c r="A32" s="184" t="s">
        <v>616</v>
      </c>
      <c r="B32" s="132"/>
      <c r="C32" s="133"/>
      <c r="D32" s="133"/>
      <c r="E32" s="134"/>
      <c r="F32" s="133"/>
      <c r="G32" s="128"/>
      <c r="H32" s="128"/>
      <c r="I32" s="83"/>
      <c r="J32" s="83"/>
      <c r="K32" s="83"/>
      <c r="L32" s="83"/>
      <c r="M32" s="83"/>
      <c r="N32" s="83"/>
      <c r="O32" s="83"/>
      <c r="P32" s="83"/>
      <c r="Q32" s="107"/>
      <c r="R32" s="500"/>
    </row>
    <row r="33" spans="1:18" ht="15.75" customHeight="1" x14ac:dyDescent="0.25">
      <c r="A33" s="173"/>
      <c r="B33" s="164"/>
      <c r="C33" s="155"/>
      <c r="D33" s="165" t="str">
        <f>IF(MODE=1, "Ch1 Output Voltage Ripple Spec", "Output Voltage Ripple Spec")</f>
        <v>Ch1 Output Voltage Ripple Spec</v>
      </c>
      <c r="E33" s="166">
        <v>50</v>
      </c>
      <c r="F33" s="157" t="s">
        <v>230</v>
      </c>
      <c r="G33" s="585"/>
      <c r="H33" s="175"/>
      <c r="I33" s="165" t="s">
        <v>696</v>
      </c>
      <c r="J33" s="166">
        <v>50</v>
      </c>
      <c r="K33" s="157" t="s">
        <v>230</v>
      </c>
      <c r="L33" s="83"/>
      <c r="M33" s="83"/>
      <c r="N33" s="83"/>
      <c r="O33" s="83"/>
      <c r="P33" s="83"/>
      <c r="Q33" s="107"/>
      <c r="R33" s="500"/>
    </row>
    <row r="34" spans="1:18" ht="14.1" customHeight="1" x14ac:dyDescent="0.2">
      <c r="A34" s="127"/>
      <c r="B34" s="128"/>
      <c r="C34" s="125"/>
      <c r="D34" s="125" t="str">
        <f>IF(MODE=1, "Ch1 Minimum Output Capacitance", "Minimum Output Capacitance")</f>
        <v>Ch1 Minimum Output Capacitance</v>
      </c>
      <c r="E34" s="527">
        <f>'Variable Management'!B121</f>
        <v>2.2000000000000002</v>
      </c>
      <c r="F34" s="163" t="s">
        <v>218</v>
      </c>
      <c r="G34" s="128"/>
      <c r="H34" s="128"/>
      <c r="I34" s="125" t="s">
        <v>697</v>
      </c>
      <c r="J34" s="527">
        <f>'Variable Management'!D121</f>
        <v>2.2000000000000002</v>
      </c>
      <c r="K34" s="163" t="s">
        <v>218</v>
      </c>
      <c r="L34" s="83"/>
      <c r="M34" s="83"/>
      <c r="N34" s="83"/>
      <c r="O34" s="83"/>
      <c r="P34" s="83"/>
      <c r="Q34" s="107"/>
      <c r="R34" s="500"/>
    </row>
    <row r="35" spans="1:18" ht="14.1" customHeight="1" x14ac:dyDescent="0.25">
      <c r="A35" s="127"/>
      <c r="B35" s="128"/>
      <c r="C35" s="125"/>
      <c r="D35" s="124" t="s">
        <v>848</v>
      </c>
      <c r="E35" s="131">
        <v>150</v>
      </c>
      <c r="F35" s="158" t="s">
        <v>218</v>
      </c>
      <c r="G35" s="130"/>
      <c r="H35" s="128"/>
      <c r="I35" s="124" t="s">
        <v>849</v>
      </c>
      <c r="J35" s="131">
        <v>120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M35" s="674"/>
      <c r="N35" s="674"/>
      <c r="O35" s="674"/>
      <c r="P35" s="674"/>
      <c r="Q35" s="675"/>
      <c r="R35" s="500"/>
    </row>
    <row r="36" spans="1:18" ht="14.1" customHeight="1" x14ac:dyDescent="0.2">
      <c r="A36" s="127"/>
      <c r="B36" s="128"/>
      <c r="C36" s="125"/>
      <c r="D36" s="125" t="str">
        <f>IF(MODE=1, "Ch1 Maximum Permitted ESR", "Maximum Permitted ESR")</f>
        <v>Ch1 Maximum Permitted ESR</v>
      </c>
      <c r="E36" s="595">
        <f>'Variable Management'!B125</f>
        <v>157.33477761712348</v>
      </c>
      <c r="F36" s="163" t="s">
        <v>49</v>
      </c>
      <c r="G36" s="130"/>
      <c r="H36" s="128"/>
      <c r="I36" s="125" t="s">
        <v>695</v>
      </c>
      <c r="J36" s="595">
        <f>'Variable Management'!D125</f>
        <v>157.29522152643261</v>
      </c>
      <c r="K36" s="163" t="s">
        <v>49</v>
      </c>
      <c r="L36" s="673"/>
      <c r="M36" s="674"/>
      <c r="N36" s="674"/>
      <c r="O36" s="674"/>
      <c r="P36" s="674"/>
      <c r="Q36" s="675"/>
      <c r="R36" s="500"/>
    </row>
    <row r="37" spans="1:18" ht="14.1" customHeight="1" x14ac:dyDescent="0.2">
      <c r="A37" s="127"/>
      <c r="B37" s="128"/>
      <c r="C37" s="125"/>
      <c r="D37" s="124" t="str">
        <f>IF(MODE=1, "Ch1 Output Capacitor ESR", "Output Capacitor ESR")</f>
        <v>Ch1 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c>
      <c r="M37" s="133"/>
      <c r="N37" s="83"/>
      <c r="O37" s="83"/>
      <c r="P37" s="83"/>
      <c r="Q37" s="645" t="str">
        <f>IF(SCH_MODE=1,  "** Tie VCCX to GND if not used **", "")</f>
        <v>** Tie VCCX to GND if not used **</v>
      </c>
      <c r="R37" s="500"/>
    </row>
    <row r="38" spans="1:18" ht="14.1" customHeight="1" x14ac:dyDescent="0.3">
      <c r="A38" s="127"/>
      <c r="B38" s="128"/>
      <c r="C38" s="128"/>
      <c r="D38" s="125" t="s">
        <v>559</v>
      </c>
      <c r="E38" s="152">
        <f>'Variable Management'!B127*1000</f>
        <v>0.64923173556800529</v>
      </c>
      <c r="F38" s="163" t="s">
        <v>233</v>
      </c>
      <c r="G38" s="130"/>
      <c r="H38" s="128"/>
      <c r="I38" s="125" t="s">
        <v>559</v>
      </c>
      <c r="J38" s="152">
        <f>'Variable Management'!D127*1000</f>
        <v>0.6569472102108983</v>
      </c>
      <c r="K38" s="163" t="s">
        <v>233</v>
      </c>
      <c r="L38" s="279" t="str">
        <f>IF(OR(SCH_MODE=3, SCH_MODE=4),"** Tie VCCX to GND if not used **", "")</f>
        <v/>
      </c>
      <c r="M38" s="113"/>
      <c r="N38" s="83"/>
      <c r="O38" s="83"/>
      <c r="P38" s="83"/>
      <c r="Q38" s="107"/>
      <c r="R38" s="500"/>
    </row>
    <row r="39" spans="1:18" ht="14.1" customHeight="1" thickBot="1" x14ac:dyDescent="0.25">
      <c r="A39" s="159"/>
      <c r="B39" s="160"/>
      <c r="C39" s="160"/>
      <c r="D39" s="126" t="s">
        <v>560</v>
      </c>
      <c r="E39" s="590">
        <f>'Variable Management'!B114</f>
        <v>0.44466177534819756</v>
      </c>
      <c r="F39" s="161" t="s">
        <v>145</v>
      </c>
      <c r="G39" s="586"/>
      <c r="H39" s="176"/>
      <c r="I39" s="126" t="s">
        <v>560</v>
      </c>
      <c r="J39" s="590">
        <f>'Variable Management'!D114</f>
        <v>0.44477271890492126</v>
      </c>
      <c r="K39" s="161" t="s">
        <v>145</v>
      </c>
      <c r="L39" s="113"/>
      <c r="M39" s="83"/>
      <c r="N39" s="83"/>
      <c r="O39" s="83"/>
      <c r="P39" s="83"/>
      <c r="Q39" s="607"/>
      <c r="R39" s="500"/>
    </row>
    <row r="40" spans="1:18" ht="13.5" customHeight="1" x14ac:dyDescent="0.2">
      <c r="A40" s="186"/>
      <c r="B40" s="135"/>
      <c r="C40" s="135"/>
      <c r="D40" s="135"/>
      <c r="E40" s="135"/>
      <c r="F40" s="135"/>
      <c r="G40" s="128"/>
      <c r="H40" s="128"/>
      <c r="I40" s="83"/>
      <c r="J40" s="83"/>
      <c r="K40" s="83"/>
      <c r="L40" s="83"/>
      <c r="M40" s="113"/>
      <c r="N40" s="113"/>
      <c r="O40" s="113"/>
      <c r="P40" s="113"/>
      <c r="Q40" s="107"/>
      <c r="R40" s="500"/>
    </row>
    <row r="41" spans="1:18" ht="19.5" thickBot="1" x14ac:dyDescent="0.35">
      <c r="A41" s="184" t="s">
        <v>617</v>
      </c>
      <c r="B41" s="132"/>
      <c r="C41" s="133"/>
      <c r="D41" s="133"/>
      <c r="E41" s="128"/>
      <c r="F41" s="128"/>
      <c r="G41" s="128"/>
      <c r="H41" s="128"/>
      <c r="I41" s="83"/>
      <c r="J41" s="83"/>
      <c r="K41" s="83"/>
      <c r="L41" s="109"/>
      <c r="M41" s="113"/>
      <c r="N41" s="113"/>
      <c r="O41" s="83"/>
      <c r="P41" s="83"/>
      <c r="Q41" s="107"/>
      <c r="R41" s="500"/>
    </row>
    <row r="42" spans="1:18" ht="14.1" customHeight="1" x14ac:dyDescent="0.25">
      <c r="A42" s="173"/>
      <c r="B42" s="164"/>
      <c r="C42" s="154"/>
      <c r="D42" s="156" t="s">
        <v>565</v>
      </c>
      <c r="E42" s="166">
        <v>1000</v>
      </c>
      <c r="F42" s="157" t="s">
        <v>230</v>
      </c>
      <c r="G42" s="128"/>
      <c r="H42" s="128"/>
      <c r="I42" s="83"/>
      <c r="J42" s="110"/>
      <c r="K42" s="83"/>
      <c r="L42" s="83"/>
      <c r="M42" s="83"/>
      <c r="N42" s="83"/>
      <c r="O42" s="83"/>
      <c r="P42" s="83"/>
      <c r="Q42" s="107"/>
      <c r="R42" s="500"/>
    </row>
    <row r="43" spans="1:18" ht="14.1" customHeight="1" x14ac:dyDescent="0.2">
      <c r="A43" s="136"/>
      <c r="B43" s="133"/>
      <c r="C43" s="128"/>
      <c r="D43" s="125" t="s">
        <v>566</v>
      </c>
      <c r="E43" s="595">
        <f>'Variable Management'!B145</f>
        <v>10</v>
      </c>
      <c r="F43" s="163" t="s">
        <v>218</v>
      </c>
      <c r="G43" s="128"/>
      <c r="H43" s="128"/>
      <c r="I43" s="83"/>
      <c r="J43" s="110"/>
      <c r="K43" s="83"/>
      <c r="L43" s="83"/>
      <c r="M43" s="271"/>
      <c r="N43" s="299"/>
      <c r="O43" s="83"/>
      <c r="P43" s="83"/>
      <c r="Q43" s="107"/>
      <c r="R43" s="500"/>
    </row>
    <row r="44" spans="1:18" ht="14.1" customHeight="1" x14ac:dyDescent="0.25">
      <c r="A44" s="127"/>
      <c r="B44" s="128"/>
      <c r="C44" s="133"/>
      <c r="D44" s="153" t="s">
        <v>282</v>
      </c>
      <c r="E44" s="129">
        <v>50</v>
      </c>
      <c r="F44" s="158" t="s">
        <v>218</v>
      </c>
      <c r="G44" s="128"/>
      <c r="H44" s="128"/>
      <c r="I44" s="83"/>
      <c r="J44" s="110"/>
      <c r="K44" s="83"/>
      <c r="L44" s="83"/>
      <c r="M44" s="83"/>
      <c r="N44" s="83"/>
      <c r="O44" s="83"/>
      <c r="P44" s="83"/>
      <c r="Q44" s="107"/>
      <c r="R44" s="500"/>
    </row>
    <row r="45" spans="1:18" ht="14.1" customHeight="1" x14ac:dyDescent="0.2">
      <c r="A45" s="127"/>
      <c r="B45" s="128"/>
      <c r="C45" s="133"/>
      <c r="D45" s="125" t="s">
        <v>833</v>
      </c>
      <c r="E45" s="526">
        <f>'Variable Management'!B150</f>
        <v>171.76670610388882</v>
      </c>
      <c r="F45" s="163" t="s">
        <v>49</v>
      </c>
      <c r="G45" s="128"/>
      <c r="H45" s="128"/>
      <c r="I45" s="83"/>
      <c r="J45" s="111"/>
      <c r="K45" s="83"/>
      <c r="L45" s="83"/>
      <c r="M45" s="83"/>
      <c r="N45" s="83"/>
      <c r="O45" s="83"/>
      <c r="P45" s="83"/>
      <c r="Q45" s="107" t="s">
        <v>178</v>
      </c>
      <c r="R45" s="500"/>
    </row>
    <row r="46" spans="1:18" ht="14.1" customHeight="1" x14ac:dyDescent="0.2">
      <c r="A46" s="127"/>
      <c r="B46" s="128"/>
      <c r="C46" s="133"/>
      <c r="D46" s="153" t="s">
        <v>480</v>
      </c>
      <c r="E46" s="129">
        <v>1</v>
      </c>
      <c r="F46" s="158" t="s">
        <v>49</v>
      </c>
      <c r="G46" s="128"/>
      <c r="H46" s="128"/>
      <c r="I46" s="83"/>
      <c r="J46" s="111"/>
      <c r="K46" s="83"/>
      <c r="L46" s="83"/>
      <c r="M46" s="83"/>
      <c r="N46" s="83"/>
      <c r="O46" s="83"/>
      <c r="P46" s="83"/>
      <c r="Q46" s="107"/>
      <c r="R46" s="500"/>
    </row>
    <row r="47" spans="1:18" ht="14.1" customHeight="1" x14ac:dyDescent="0.3">
      <c r="A47" s="127"/>
      <c r="B47" s="128"/>
      <c r="C47" s="133"/>
      <c r="D47" s="259" t="s">
        <v>834</v>
      </c>
      <c r="E47" s="152">
        <f>'Variable Management'!B155*1000</f>
        <v>14.620401973058035</v>
      </c>
      <c r="F47" s="163" t="s">
        <v>233</v>
      </c>
      <c r="G47" s="128"/>
      <c r="H47" s="128"/>
      <c r="I47" s="83"/>
      <c r="J47" s="111"/>
      <c r="K47" s="83"/>
      <c r="L47" s="83"/>
      <c r="M47" s="83"/>
      <c r="N47" s="83"/>
      <c r="O47" s="83"/>
      <c r="P47" s="83"/>
      <c r="Q47" s="107"/>
      <c r="R47" s="500"/>
    </row>
    <row r="48" spans="1:18" ht="15.75" customHeight="1" thickBot="1" x14ac:dyDescent="0.25">
      <c r="A48" s="159"/>
      <c r="B48" s="160"/>
      <c r="C48" s="160"/>
      <c r="D48" s="265" t="s">
        <v>561</v>
      </c>
      <c r="E48" s="660" t="e">
        <f>'Variable Management'!B138</f>
        <v>#NUM!</v>
      </c>
      <c r="F48" s="266" t="s">
        <v>145</v>
      </c>
      <c r="G48" s="128"/>
      <c r="H48" s="128"/>
      <c r="I48" s="83"/>
      <c r="J48" s="83"/>
      <c r="K48" s="83"/>
      <c r="L48" s="83"/>
      <c r="M48" s="83"/>
      <c r="N48" s="83"/>
      <c r="O48" s="83"/>
      <c r="P48" s="83"/>
      <c r="Q48" s="107"/>
      <c r="R48" s="500"/>
    </row>
    <row r="49" spans="1:35" ht="14.1" customHeight="1" x14ac:dyDescent="0.2">
      <c r="A49" s="127"/>
      <c r="B49" s="128"/>
      <c r="C49" s="128"/>
      <c r="D49" s="125"/>
      <c r="E49" s="128"/>
      <c r="F49" s="128"/>
      <c r="G49" s="128"/>
      <c r="H49" s="128"/>
      <c r="I49" s="83"/>
      <c r="J49" s="83"/>
      <c r="K49" s="83"/>
      <c r="L49" s="83"/>
      <c r="M49" s="83"/>
      <c r="N49" s="83"/>
      <c r="O49" s="83"/>
      <c r="P49" s="83"/>
      <c r="Q49" s="107"/>
      <c r="R49" s="500"/>
    </row>
    <row r="50" spans="1:35" ht="19.5" thickBot="1" x14ac:dyDescent="0.35">
      <c r="A50" s="184" t="s">
        <v>692</v>
      </c>
      <c r="B50" s="132"/>
      <c r="C50" s="128"/>
      <c r="D50" s="125"/>
      <c r="E50" s="128"/>
      <c r="F50" s="128"/>
      <c r="G50" s="128"/>
      <c r="H50" s="137"/>
      <c r="I50" s="113"/>
      <c r="J50" s="113"/>
      <c r="K50" s="113"/>
      <c r="L50" s="113"/>
      <c r="M50" s="113"/>
      <c r="N50" s="83"/>
      <c r="O50" s="83"/>
      <c r="P50" s="83"/>
      <c r="Q50" s="107"/>
      <c r="R50" s="500"/>
    </row>
    <row r="51" spans="1:35" ht="13.7" customHeight="1" x14ac:dyDescent="0.2">
      <c r="A51" s="267"/>
      <c r="B51" s="268"/>
      <c r="C51" s="268"/>
      <c r="D51" s="275" t="s">
        <v>284</v>
      </c>
      <c r="E51" s="276">
        <v>3</v>
      </c>
      <c r="F51" s="270" t="s">
        <v>149</v>
      </c>
      <c r="G51" s="128"/>
      <c r="H51" s="135"/>
      <c r="I51" s="113"/>
      <c r="J51" s="113"/>
      <c r="K51" s="113"/>
      <c r="L51" s="113"/>
      <c r="M51" s="113"/>
      <c r="N51" s="83"/>
      <c r="O51" s="83"/>
      <c r="P51" s="83"/>
      <c r="Q51" s="107"/>
      <c r="R51" s="500"/>
    </row>
    <row r="52" spans="1:35" ht="13.7" customHeight="1" x14ac:dyDescent="0.2">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7" customHeight="1" x14ac:dyDescent="0.2">
      <c r="A53" s="258"/>
      <c r="B53" s="257"/>
      <c r="C53" s="279"/>
      <c r="D53" s="278" t="s">
        <v>698</v>
      </c>
      <c r="E53" s="272">
        <v>30</v>
      </c>
      <c r="F53" s="273" t="s">
        <v>149</v>
      </c>
      <c r="G53" s="128"/>
      <c r="H53" s="135"/>
      <c r="I53" s="113"/>
      <c r="J53" s="113"/>
      <c r="K53" s="113"/>
      <c r="L53" s="113"/>
      <c r="M53" s="113"/>
      <c r="N53" s="83"/>
      <c r="O53" s="83"/>
      <c r="P53" s="83"/>
      <c r="Q53" s="107"/>
      <c r="R53" s="500"/>
    </row>
    <row r="54" spans="1:35" ht="13.7" customHeight="1" x14ac:dyDescent="0.2">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2">
      <c r="A55" s="258"/>
      <c r="B55" s="257"/>
      <c r="C55" s="257"/>
      <c r="D55" s="278" t="s">
        <v>613</v>
      </c>
      <c r="E55" s="554">
        <v>9</v>
      </c>
      <c r="F55" s="273" t="str">
        <f>IF(DITHER=1, "kHz", "")</f>
        <v/>
      </c>
      <c r="G55" s="128"/>
      <c r="H55" s="128"/>
      <c r="I55" s="83"/>
      <c r="J55" s="81"/>
      <c r="K55" s="123"/>
      <c r="L55" s="83"/>
      <c r="M55" s="113"/>
      <c r="N55" s="83"/>
      <c r="O55" s="83"/>
      <c r="P55" s="83"/>
      <c r="Q55" s="107"/>
      <c r="R55" s="500"/>
    </row>
    <row r="56" spans="1:35" ht="13.7" customHeight="1" x14ac:dyDescent="0.2">
      <c r="A56" s="258"/>
      <c r="B56" s="257"/>
      <c r="C56" s="257"/>
      <c r="D56" s="259" t="str">
        <f>IF(DITHER=1, "DITH Capacitance, Cd", "*Tie DITH to VDDA")</f>
        <v>*Tie DITH to VDDA</v>
      </c>
      <c r="E56" s="259" t="str">
        <f>IF(DITHER=1,IF(E55&gt;0,'Standard Value Calculator'!O22*1000000000,"N/A"),"")</f>
        <v/>
      </c>
      <c r="F56" s="261" t="str">
        <f>IF(DITHER=1, "nF", "")</f>
        <v/>
      </c>
      <c r="G56" s="128"/>
      <c r="H56" s="128"/>
      <c r="I56" s="83"/>
      <c r="J56" s="81"/>
      <c r="K56" s="123"/>
      <c r="L56" s="83"/>
      <c r="M56" s="113"/>
      <c r="N56" s="83"/>
      <c r="O56" s="83"/>
      <c r="P56" s="83"/>
      <c r="Q56" s="107"/>
      <c r="R56" s="500"/>
    </row>
    <row r="57" spans="1:35" ht="15.75" customHeight="1" x14ac:dyDescent="0.2">
      <c r="A57" s="258"/>
      <c r="B57" s="257"/>
      <c r="C57" s="279"/>
      <c r="D57" s="588" t="str">
        <f>IF(DEMB=1, "* Tie DEMB to VDDA", "*Tie DEMB to AGND")</f>
        <v>* Tie DEMB to VDDA</v>
      </c>
      <c r="E57" s="647"/>
      <c r="F57" s="261"/>
      <c r="G57" s="128"/>
      <c r="H57" s="128"/>
      <c r="I57" s="83"/>
      <c r="J57" s="81"/>
      <c r="K57" s="123"/>
      <c r="L57" s="83"/>
      <c r="M57" s="113"/>
      <c r="N57" s="83"/>
      <c r="O57" s="83"/>
      <c r="P57" s="83"/>
      <c r="Q57" s="107"/>
      <c r="R57" s="500"/>
    </row>
    <row r="58" spans="1:35" ht="15" customHeight="1" thickBot="1" x14ac:dyDescent="0.25">
      <c r="A58" s="282"/>
      <c r="B58" s="283"/>
      <c r="C58" s="283"/>
      <c r="D58" s="593" t="str">
        <f>IF(MODE=2, "* Tie MODE to VDDA", "* Tie MODE to AGND")</f>
        <v>* Tie MODE to AGND</v>
      </c>
      <c r="E58" s="587"/>
      <c r="F58" s="284"/>
      <c r="G58" s="128"/>
      <c r="H58" s="128"/>
      <c r="I58" s="83"/>
      <c r="J58" s="81"/>
      <c r="K58" s="123"/>
      <c r="L58" s="83"/>
      <c r="M58" s="113"/>
      <c r="N58" s="83"/>
      <c r="O58" s="83"/>
      <c r="P58" s="83"/>
      <c r="Q58" s="107"/>
      <c r="R58" s="500"/>
    </row>
    <row r="59" spans="1:35" ht="14.1" customHeight="1" x14ac:dyDescent="0.2">
      <c r="A59" s="127"/>
      <c r="B59" s="128"/>
      <c r="C59" s="128"/>
      <c r="D59" s="125"/>
      <c r="E59" s="138"/>
      <c r="F59" s="128"/>
      <c r="G59" s="128"/>
      <c r="H59" s="128"/>
      <c r="I59" s="83"/>
      <c r="J59" s="81"/>
      <c r="K59" s="123"/>
      <c r="L59" s="83"/>
      <c r="M59" s="113"/>
      <c r="N59" s="83"/>
      <c r="O59" s="83"/>
      <c r="P59" s="83"/>
      <c r="Q59" s="107"/>
      <c r="R59" s="500"/>
    </row>
    <row r="60" spans="1:35" ht="19.5" customHeight="1" thickBot="1" x14ac:dyDescent="0.2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2">
      <c r="A61" s="267"/>
      <c r="B61" s="268"/>
      <c r="C61" s="269"/>
      <c r="D61" s="269" t="str">
        <f>IF(MODE=1, "Ch1 Load Pole Frequency", "Load Pole Frequency")</f>
        <v>Ch1 Load Pole Frequency</v>
      </c>
      <c r="E61" s="368">
        <f>Fp_dominant</f>
        <v>404.71326650027254</v>
      </c>
      <c r="F61" s="285" t="s">
        <v>9</v>
      </c>
      <c r="G61" s="585"/>
      <c r="H61" s="175"/>
      <c r="I61" s="269" t="s">
        <v>704</v>
      </c>
      <c r="J61" s="368">
        <f>Fp_dominant_Ch2</f>
        <v>503.87440293675269</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2">
      <c r="A62" s="258"/>
      <c r="B62" s="257"/>
      <c r="C62" s="259"/>
      <c r="D62" s="259" t="str">
        <f>IF(MODE=1, "Ch1 ESR Zero Frequency", "ESR Zero Frequency")</f>
        <v>Ch1 ESR Zero Frequency</v>
      </c>
      <c r="E62" s="262">
        <f>Fesr/1000</f>
        <v>530.51647757918795</v>
      </c>
      <c r="F62" s="261" t="s">
        <v>2</v>
      </c>
      <c r="G62" s="128"/>
      <c r="H62" s="128"/>
      <c r="I62" s="259" t="s">
        <v>707</v>
      </c>
      <c r="J62" s="262">
        <f>Fesr_Ch2/1000</f>
        <v>663.14559697398488</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2">
      <c r="A63" s="258"/>
      <c r="B63" s="257"/>
      <c r="C63" s="259"/>
      <c r="D63" s="280" t="str">
        <f>IF(MODE=1, "Ch1 Desired Crossover Frequency", "Desired Crossover Frequency")</f>
        <v>Ch1 Desired Crossover Frequency</v>
      </c>
      <c r="E63" s="286">
        <v>60</v>
      </c>
      <c r="F63" s="287" t="str">
        <f>"     kHz "</f>
        <v xml:space="preserve">     kHz </v>
      </c>
      <c r="G63" s="128"/>
      <c r="H63" s="128"/>
      <c r="I63" s="280" t="s">
        <v>706</v>
      </c>
      <c r="J63" s="286">
        <v>60</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2">
      <c r="A64" s="258"/>
      <c r="B64" s="257"/>
      <c r="C64" s="259"/>
      <c r="D64" s="259" t="str">
        <f>IF(MODE=1, "Ch1 Error Amp Pole Frequency", "Error Amp Pole Frequency")</f>
        <v>Ch1 Error Amp Pole Frequency</v>
      </c>
      <c r="E64" s="260">
        <f>Fp1_u</f>
        <v>7.5269248051528796</v>
      </c>
      <c r="F64" s="261" t="s">
        <v>9</v>
      </c>
      <c r="G64" s="128"/>
      <c r="H64" s="128"/>
      <c r="I64" s="259" t="s">
        <v>705</v>
      </c>
      <c r="J64" s="260">
        <f>Fp1_u_Ch2</f>
        <v>5.2860665696800622</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2">
      <c r="A65" s="258"/>
      <c r="B65" s="257"/>
      <c r="C65" s="259"/>
      <c r="D65" s="280" t="str">
        <f>CHOOSE(Ch1_VOUT, "* Tie FB1 to VDDA for Ch1 3.3V Out", "* Tie FB1 to AGND for Ch1 5V Out", IF(MODE=1, "Ch1 Upper Feedback Resistor", "Upper Feedback Resistor"))</f>
        <v>Ch1 Upper Feedback Resistor</v>
      </c>
      <c r="E65" s="288">
        <v>39.299999999999997</v>
      </c>
      <c r="F65" s="273" t="s">
        <v>50</v>
      </c>
      <c r="G65" s="128"/>
      <c r="H65" s="128"/>
      <c r="I65" s="280" t="str">
        <f>CHOOSE(Ch2_VOUT, "* Tie FB2 to VDDA for Ch2 3.3V Out", "* Tie FB2 to AGND for Ch2 5V Out", "Ch2 Upper Feedback Resistor")</f>
        <v>Ch2 Upper Feedback Resistor</v>
      </c>
      <c r="J65" s="288">
        <v>115</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25">
      <c r="A66" s="263"/>
      <c r="B66" s="264"/>
      <c r="C66" s="265"/>
      <c r="D66" s="281" t="str">
        <f>IF(Ch1_VOUT=3, IF(MODE=1,"Ch1 Lower Feedback Resistor","Lower Feedback Resistor"),"")</f>
        <v>Ch1 Lower Feedback Resistor</v>
      </c>
      <c r="E66" s="265">
        <f>IF(Vout=Vref,"OPEN",Rfb2_u/1000)</f>
        <v>1.21</v>
      </c>
      <c r="F66" s="266" t="str">
        <f>IF(Vout=Vref,"","kΩ")</f>
        <v>kΩ</v>
      </c>
      <c r="G66" s="195"/>
      <c r="H66" s="176"/>
      <c r="I66" s="281" t="str">
        <f>IF(Ch2_VOUT=3, "Ch2 Lower Feedback Resistor","")</f>
        <v>Ch2 Lower Feedback Resistor</v>
      </c>
      <c r="J66" s="265">
        <f>IF(Vout2=Vref,"OPEN",Rfb4_u/1000)</f>
        <v>3.57</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2">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25">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2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75" x14ac:dyDescent="0.3">
      <c r="A70" s="171" t="s">
        <v>708</v>
      </c>
      <c r="B70" s="182">
        <f>Rcea1/1000</f>
        <v>75.398223600000023</v>
      </c>
      <c r="C70" s="167">
        <f>'Standard Value Calculator'!O30</f>
        <v>75</v>
      </c>
      <c r="D70" s="168">
        <f t="shared" ref="D70:D75" si="1">C70</f>
        <v>75</v>
      </c>
      <c r="E70" s="169" t="s">
        <v>50</v>
      </c>
      <c r="F70" s="519">
        <f>Fp1_u</f>
        <v>7.5269248051528796</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75" x14ac:dyDescent="0.3">
      <c r="A71" s="172" t="s">
        <v>231</v>
      </c>
      <c r="B71" s="484">
        <f>Cc1ea*1000000000</f>
        <v>0.35180966622878612</v>
      </c>
      <c r="C71" s="144">
        <f>'Standard Value Calculator'!O31</f>
        <v>0.33</v>
      </c>
      <c r="D71" s="149">
        <f t="shared" si="1"/>
        <v>0.33</v>
      </c>
      <c r="E71" s="170" t="s">
        <v>141</v>
      </c>
      <c r="F71" s="432">
        <f>Fz1_u/1000</f>
        <v>6.43050275853561</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5" thickBot="1" x14ac:dyDescent="0.35">
      <c r="A72" s="369" t="s">
        <v>232</v>
      </c>
      <c r="B72" s="183" t="str">
        <f>IF(Cc2ea&lt;0, "N/A", Cc2ea*1000000000000)</f>
        <v>N/A</v>
      </c>
      <c r="C72" s="179">
        <f>'Standard Value Calculator'!O32</f>
        <v>0</v>
      </c>
      <c r="D72" s="180">
        <f t="shared" si="1"/>
        <v>0</v>
      </c>
      <c r="E72" s="181" t="s">
        <v>30</v>
      </c>
      <c r="F72" s="436">
        <f>Fp2_u/1000</f>
        <v>333.33333333333337</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75" x14ac:dyDescent="0.3">
      <c r="A73" s="171" t="s">
        <v>709</v>
      </c>
      <c r="B73" s="182">
        <f>Rcea2/1000</f>
        <v>60.318578880000018</v>
      </c>
      <c r="C73" s="144">
        <f>'Standard Value Calculator'!O34</f>
        <v>60.4</v>
      </c>
      <c r="D73" s="149">
        <f t="shared" si="1"/>
        <v>60.4</v>
      </c>
      <c r="E73" s="169" t="s">
        <v>50</v>
      </c>
      <c r="F73" s="519">
        <f>Fp1_u_Ch2</f>
        <v>5.2860665696800622</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75" x14ac:dyDescent="0.3">
      <c r="A74" s="172" t="s">
        <v>710</v>
      </c>
      <c r="B74" s="484">
        <f>Cc3ea*1000000000</f>
        <v>0.43976208278598272</v>
      </c>
      <c r="C74" s="144">
        <f>'Standard Value Calculator'!O35</f>
        <v>0.47000000000000003</v>
      </c>
      <c r="D74" s="149">
        <f t="shared" si="1"/>
        <v>0.47000000000000003</v>
      </c>
      <c r="E74" s="170" t="s">
        <v>141</v>
      </c>
      <c r="F74" s="432">
        <f>Fz1_u_Ch2/1000</f>
        <v>5.6064162066280243</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5" thickBot="1" x14ac:dyDescent="0.35">
      <c r="A75" s="369" t="s">
        <v>711</v>
      </c>
      <c r="B75" s="183" t="str">
        <f>IF(Cc4ea&lt;0, "N/A", Cc4ea*1000000000000)</f>
        <v>N/A</v>
      </c>
      <c r="C75" s="179">
        <f>IF(1, 'Standard Value Calculator'!O36)</f>
        <v>0</v>
      </c>
      <c r="D75" s="180">
        <f t="shared" si="1"/>
        <v>0</v>
      </c>
      <c r="E75" s="181" t="s">
        <v>30</v>
      </c>
      <c r="F75" s="436">
        <f>Fp2_u_Ch2/1000</f>
        <v>413.90728476821192</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2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75" thickBot="1" x14ac:dyDescent="0.3">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2">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9.5" thickBot="1" x14ac:dyDescent="0.35">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25">
      <c r="A80" s="173"/>
      <c r="B80" s="174"/>
      <c r="C80" s="561"/>
      <c r="D80" s="561"/>
      <c r="E80" s="561"/>
      <c r="F80" s="204" t="str">
        <f>IF(MODE=1, "Ch1 Power MOSFETs", "Power MOSFETs")</f>
        <v>Ch1 Power MOSFETs</v>
      </c>
      <c r="G80" s="636" t="s">
        <v>778</v>
      </c>
      <c r="H80" s="561"/>
      <c r="I80" s="204" t="str">
        <f>IF(MODE=1, "Ch2 Power MOSFETs ", "Power MOSFETs ")</f>
        <v xml:space="preserve">Ch2 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2">
      <c r="A81" s="632"/>
      <c r="B81" s="133"/>
      <c r="C81" s="633"/>
      <c r="D81" s="634"/>
      <c r="E81" s="635" t="s">
        <v>862</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5" customHeight="1" x14ac:dyDescent="0.2">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5" customHeight="1" x14ac:dyDescent="0.25">
      <c r="A83" s="127"/>
      <c r="B83" s="128"/>
      <c r="C83" s="133"/>
      <c r="D83" s="124" t="s">
        <v>272</v>
      </c>
      <c r="E83" s="254">
        <v>6</v>
      </c>
      <c r="F83" s="254">
        <v>2.5</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5" customHeight="1" x14ac:dyDescent="0.25">
      <c r="A84" s="127"/>
      <c r="B84" s="128"/>
      <c r="C84" s="133"/>
      <c r="D84" s="124" t="s">
        <v>273</v>
      </c>
      <c r="E84" s="129">
        <v>8</v>
      </c>
      <c r="F84" s="129">
        <v>25</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5" customHeight="1" x14ac:dyDescent="0.25">
      <c r="A85" s="127"/>
      <c r="B85" s="128"/>
      <c r="C85" s="133"/>
      <c r="D85" s="124" t="s">
        <v>274</v>
      </c>
      <c r="E85" s="129">
        <v>1.4</v>
      </c>
      <c r="F85" s="129">
        <v>4.5</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5" customHeight="1" x14ac:dyDescent="0.25">
      <c r="A86" s="127"/>
      <c r="B86" s="128"/>
      <c r="C86" s="133"/>
      <c r="D86" s="124" t="s">
        <v>275</v>
      </c>
      <c r="E86" s="129">
        <v>3.8</v>
      </c>
      <c r="F86" s="129">
        <v>12</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5" customHeight="1" x14ac:dyDescent="0.25">
      <c r="A87" s="482"/>
      <c r="B87" s="113"/>
      <c r="C87" s="113"/>
      <c r="D87" s="124" t="s">
        <v>821</v>
      </c>
      <c r="E87" s="639"/>
      <c r="F87" s="129">
        <v>30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5" customHeight="1" x14ac:dyDescent="0.25">
      <c r="A88" s="482"/>
      <c r="B88" s="113"/>
      <c r="C88" s="113"/>
      <c r="D88" s="124" t="s">
        <v>820</v>
      </c>
      <c r="E88" s="129">
        <v>213</v>
      </c>
      <c r="F88" s="129">
        <v>1700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5" customHeight="1" x14ac:dyDescent="0.25">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5" customHeight="1" x14ac:dyDescent="0.25">
      <c r="A90" s="127"/>
      <c r="B90" s="128"/>
      <c r="C90" s="133"/>
      <c r="D90" s="124" t="s">
        <v>277</v>
      </c>
      <c r="E90" s="129">
        <v>64</v>
      </c>
      <c r="F90" s="129">
        <v>280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5" customHeight="1" x14ac:dyDescent="0.25">
      <c r="A91" s="127"/>
      <c r="B91" s="128"/>
      <c r="C91" s="133"/>
      <c r="D91" s="124" t="s">
        <v>545</v>
      </c>
      <c r="E91" s="129">
        <v>2.9</v>
      </c>
      <c r="F91" s="129">
        <v>3</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5" customHeight="1" x14ac:dyDescent="0.25">
      <c r="A92" s="127"/>
      <c r="B92" s="128"/>
      <c r="C92" s="133"/>
      <c r="D92" s="124" t="s">
        <v>542</v>
      </c>
      <c r="E92" s="129">
        <v>0.7</v>
      </c>
      <c r="F92" s="129">
        <v>0.7</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25">
      <c r="A93" s="127"/>
      <c r="B93" s="128"/>
      <c r="C93" s="128"/>
      <c r="D93" s="124" t="s">
        <v>544</v>
      </c>
      <c r="E93" s="2"/>
      <c r="F93" s="129">
        <v>60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5" customHeight="1" thickBot="1" x14ac:dyDescent="0.3">
      <c r="A94" s="195"/>
      <c r="B94" s="176"/>
      <c r="C94" s="196"/>
      <c r="D94" s="177" t="s">
        <v>278</v>
      </c>
      <c r="E94" s="250">
        <v>50</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5" customHeight="1" thickBot="1" x14ac:dyDescent="0.2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5" customHeight="1" x14ac:dyDescent="0.2">
      <c r="A96" s="608" t="s">
        <v>510</v>
      </c>
      <c r="B96" s="472"/>
      <c r="C96" s="473"/>
      <c r="D96" s="485"/>
      <c r="E96" s="601" t="str">
        <f>CHOOSE(MODE, "Ch1", "")</f>
        <v>Ch1</v>
      </c>
      <c r="F96" s="602" t="str">
        <f>CHOOSE(MODE, "Ch2", "")</f>
        <v>Ch2</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5" customHeight="1" x14ac:dyDescent="0.25">
      <c r="A97" s="127"/>
      <c r="B97" s="128"/>
      <c r="C97" s="128"/>
      <c r="D97" s="124" t="s">
        <v>546</v>
      </c>
      <c r="E97" s="251">
        <v>0</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5" customHeight="1" thickBot="1" x14ac:dyDescent="0.3">
      <c r="A98" s="195"/>
      <c r="B98" s="176"/>
      <c r="C98" s="176"/>
      <c r="D98" s="177" t="s">
        <v>543</v>
      </c>
      <c r="E98" s="252">
        <v>0</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5" customHeight="1" x14ac:dyDescent="0.2">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2">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2">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3">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2">
      <c r="A103" s="185"/>
      <c r="B103" s="154"/>
      <c r="C103" s="155"/>
      <c r="D103" s="155" t="s">
        <v>817</v>
      </c>
      <c r="E103" s="560">
        <f>'Variable Management'!B322</f>
        <v>0.65999999999999992</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5" customHeight="1" thickBot="1" x14ac:dyDescent="0.25">
      <c r="A104" s="159"/>
      <c r="B104" s="160"/>
      <c r="C104" s="160"/>
      <c r="D104" s="265" t="s">
        <v>806</v>
      </c>
      <c r="E104" s="597">
        <f>'Variable Management'!B324</f>
        <v>47.967999999999996</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2">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5" customHeight="1" x14ac:dyDescent="0.2">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5" customHeight="1" x14ac:dyDescent="0.2">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5" customHeight="1" x14ac:dyDescent="0.2">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2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2">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2">
      <c r="A111" s="79"/>
      <c r="R111" s="54"/>
      <c r="S111" s="54"/>
      <c r="T111" s="54"/>
      <c r="W111" s="54"/>
      <c r="X111" s="54"/>
      <c r="Y111" s="54"/>
      <c r="AB111" s="54"/>
      <c r="AC111" s="54"/>
      <c r="AD111" s="54"/>
      <c r="AG111" s="54"/>
      <c r="AH111" s="54"/>
      <c r="AI111" s="54"/>
    </row>
    <row r="112" spans="1:35" x14ac:dyDescent="0.2">
      <c r="R112" s="54"/>
      <c r="S112" s="54"/>
      <c r="T112" s="54"/>
      <c r="W112" s="54"/>
      <c r="X112" s="54"/>
      <c r="Y112" s="54"/>
      <c r="AB112" s="54"/>
      <c r="AC112" s="54"/>
      <c r="AD112" s="54"/>
      <c r="AG112" s="54"/>
      <c r="AH112" s="54"/>
      <c r="AI112" s="54"/>
    </row>
    <row r="113" spans="18:35" x14ac:dyDescent="0.2">
      <c r="R113" s="54"/>
      <c r="S113" s="54"/>
      <c r="T113" s="54"/>
      <c r="W113" s="54"/>
      <c r="X113" s="54"/>
      <c r="Y113" s="54"/>
      <c r="AB113" s="54"/>
      <c r="AC113" s="54"/>
      <c r="AD113" s="54"/>
      <c r="AG113" s="54"/>
      <c r="AH113" s="54"/>
      <c r="AI113" s="54"/>
    </row>
    <row r="114" spans="18:35" x14ac:dyDescent="0.2">
      <c r="R114" s="54"/>
      <c r="S114" s="54"/>
      <c r="T114" s="54"/>
      <c r="W114" s="54"/>
      <c r="X114" s="54"/>
      <c r="Y114" s="54"/>
      <c r="AB114" s="54"/>
      <c r="AC114" s="54"/>
      <c r="AD114" s="54"/>
      <c r="AG114" s="54"/>
      <c r="AH114" s="54"/>
      <c r="AI114" s="54"/>
    </row>
    <row r="115" spans="18:35" x14ac:dyDescent="0.2">
      <c r="R115" s="54"/>
      <c r="S115" s="54"/>
      <c r="T115" s="54"/>
      <c r="W115" s="54"/>
      <c r="X115" s="54"/>
      <c r="Y115" s="54"/>
      <c r="AB115" s="54"/>
      <c r="AC115" s="54"/>
      <c r="AD115" s="54"/>
      <c r="AG115" s="54"/>
      <c r="AH115" s="54"/>
      <c r="AI115" s="54"/>
    </row>
    <row r="116" spans="18:35" x14ac:dyDescent="0.2">
      <c r="R116" s="54"/>
      <c r="S116" s="54"/>
      <c r="T116" s="54"/>
      <c r="W116" s="54"/>
      <c r="X116" s="54"/>
      <c r="Y116" s="54"/>
      <c r="AB116" s="54"/>
      <c r="AC116" s="54"/>
      <c r="AD116" s="54"/>
      <c r="AG116" s="54"/>
      <c r="AH116" s="54"/>
      <c r="AI116" s="54"/>
    </row>
    <row r="117" spans="18:35" x14ac:dyDescent="0.2">
      <c r="R117" s="54"/>
      <c r="S117" s="54"/>
      <c r="T117" s="54"/>
      <c r="W117" s="54"/>
      <c r="X117" s="54"/>
      <c r="Y117" s="54"/>
      <c r="AB117" s="54"/>
      <c r="AC117" s="54"/>
      <c r="AD117" s="54"/>
      <c r="AG117" s="54"/>
      <c r="AH117" s="54"/>
      <c r="AI117" s="54"/>
    </row>
    <row r="118" spans="18:35" x14ac:dyDescent="0.2">
      <c r="R118" s="54"/>
      <c r="S118" s="54"/>
      <c r="T118" s="54"/>
      <c r="W118" s="54"/>
      <c r="X118" s="54"/>
      <c r="Y118" s="54"/>
      <c r="AB118" s="54"/>
      <c r="AC118" s="54"/>
      <c r="AD118" s="54"/>
      <c r="AG118" s="54"/>
      <c r="AH118" s="54"/>
      <c r="AI118" s="54"/>
    </row>
    <row r="119" spans="18:35" x14ac:dyDescent="0.2">
      <c r="R119" s="54"/>
      <c r="S119" s="54"/>
      <c r="T119" s="54"/>
      <c r="W119" s="54"/>
      <c r="X119" s="54"/>
      <c r="Y119" s="54"/>
      <c r="AB119" s="54"/>
      <c r="AC119" s="54"/>
      <c r="AD119" s="54"/>
      <c r="AG119" s="54"/>
      <c r="AH119" s="54"/>
      <c r="AI119" s="54"/>
    </row>
    <row r="120" spans="18:35" x14ac:dyDescent="0.2">
      <c r="R120" s="54"/>
      <c r="S120" s="54"/>
      <c r="T120" s="54"/>
      <c r="W120" s="54"/>
      <c r="X120" s="54"/>
      <c r="Y120" s="54"/>
      <c r="AB120" s="54"/>
      <c r="AC120" s="54"/>
      <c r="AD120" s="54"/>
      <c r="AG120" s="54"/>
      <c r="AH120" s="54"/>
      <c r="AI120" s="54"/>
    </row>
    <row r="121" spans="18:35" x14ac:dyDescent="0.2">
      <c r="R121" s="54"/>
      <c r="S121" s="54"/>
      <c r="T121" s="54"/>
      <c r="W121" s="54"/>
      <c r="X121" s="54"/>
      <c r="Y121" s="54"/>
      <c r="AB121" s="54"/>
      <c r="AC121" s="54"/>
      <c r="AD121" s="54"/>
      <c r="AG121" s="54"/>
      <c r="AH121" s="54"/>
      <c r="AI121" s="54"/>
    </row>
    <row r="122" spans="18:35" x14ac:dyDescent="0.2">
      <c r="R122" s="54"/>
      <c r="S122" s="54"/>
      <c r="T122" s="54"/>
      <c r="W122" s="54"/>
      <c r="X122" s="54"/>
      <c r="Y122" s="54"/>
      <c r="AB122" s="54"/>
      <c r="AC122" s="54"/>
      <c r="AD122" s="54"/>
      <c r="AG122" s="54"/>
      <c r="AH122" s="54"/>
      <c r="AI122" s="54"/>
    </row>
    <row r="123" spans="18:35" x14ac:dyDescent="0.2">
      <c r="R123" s="54"/>
      <c r="S123" s="54"/>
      <c r="T123" s="54"/>
      <c r="W123" s="54"/>
      <c r="X123" s="54"/>
      <c r="Y123" s="54"/>
      <c r="AB123" s="54"/>
      <c r="AC123" s="54"/>
      <c r="AD123" s="54"/>
      <c r="AG123" s="54"/>
      <c r="AH123" s="54"/>
      <c r="AI123" s="54"/>
    </row>
    <row r="124" spans="18:35" x14ac:dyDescent="0.2">
      <c r="R124" s="54"/>
      <c r="S124" s="54"/>
      <c r="T124" s="54"/>
      <c r="W124" s="54"/>
      <c r="X124" s="54"/>
      <c r="Y124" s="54"/>
      <c r="AB124" s="54"/>
      <c r="AC124" s="54"/>
      <c r="AD124" s="54"/>
      <c r="AG124" s="54"/>
      <c r="AH124" s="54"/>
      <c r="AI124" s="54"/>
    </row>
    <row r="125" spans="18:35" x14ac:dyDescent="0.2">
      <c r="R125" s="54"/>
      <c r="S125" s="54"/>
      <c r="T125" s="54"/>
      <c r="W125" s="54"/>
      <c r="X125" s="54"/>
      <c r="Y125" s="54"/>
      <c r="AB125" s="54"/>
      <c r="AC125" s="54"/>
      <c r="AD125" s="54"/>
      <c r="AG125" s="54"/>
      <c r="AH125" s="54"/>
      <c r="AI125" s="54"/>
    </row>
    <row r="126" spans="18:35" x14ac:dyDescent="0.2">
      <c r="R126" s="54"/>
      <c r="S126" s="54"/>
      <c r="T126" s="54"/>
      <c r="W126" s="54"/>
      <c r="X126" s="54"/>
      <c r="Y126" s="54"/>
      <c r="AB126" s="54"/>
      <c r="AC126" s="54"/>
      <c r="AD126" s="54"/>
      <c r="AG126" s="54"/>
      <c r="AH126" s="54"/>
      <c r="AI126" s="54"/>
    </row>
    <row r="127" spans="18:35" x14ac:dyDescent="0.2">
      <c r="R127" s="54"/>
      <c r="S127" s="54"/>
      <c r="T127" s="54"/>
      <c r="W127" s="54"/>
      <c r="X127" s="54"/>
      <c r="Y127" s="54"/>
      <c r="AB127" s="54"/>
      <c r="AC127" s="54"/>
      <c r="AD127" s="54"/>
      <c r="AG127" s="54"/>
      <c r="AH127" s="54"/>
      <c r="AI127" s="54"/>
    </row>
    <row r="128" spans="18:35" x14ac:dyDescent="0.2">
      <c r="R128" s="54"/>
      <c r="S128" s="54"/>
      <c r="T128" s="54"/>
      <c r="W128" s="54"/>
      <c r="X128" s="54"/>
      <c r="Y128" s="54"/>
      <c r="AB128" s="54"/>
      <c r="AC128" s="54"/>
      <c r="AD128" s="54"/>
      <c r="AG128" s="54"/>
      <c r="AH128" s="54"/>
      <c r="AI128" s="54"/>
    </row>
    <row r="129" spans="18:35" x14ac:dyDescent="0.2">
      <c r="R129" s="54"/>
      <c r="S129" s="54"/>
      <c r="T129" s="54"/>
      <c r="W129" s="54"/>
      <c r="X129" s="54"/>
      <c r="Y129" s="54"/>
      <c r="AB129" s="54"/>
      <c r="AC129" s="54"/>
      <c r="AD129" s="54"/>
      <c r="AG129" s="54"/>
      <c r="AH129" s="54"/>
      <c r="AI129" s="54"/>
    </row>
    <row r="130" spans="18:35" x14ac:dyDescent="0.2">
      <c r="R130" s="54"/>
      <c r="S130" s="54"/>
      <c r="T130" s="54"/>
      <c r="W130" s="54"/>
      <c r="X130" s="54"/>
      <c r="Y130" s="54"/>
      <c r="AB130" s="54"/>
      <c r="AC130" s="54"/>
      <c r="AD130" s="54"/>
      <c r="AG130" s="54"/>
      <c r="AH130" s="54"/>
      <c r="AI130" s="54"/>
    </row>
    <row r="131" spans="18:35" x14ac:dyDescent="0.2">
      <c r="R131" s="54"/>
      <c r="S131" s="54"/>
      <c r="T131" s="54"/>
      <c r="W131" s="54"/>
      <c r="X131" s="54"/>
      <c r="Y131" s="54"/>
      <c r="AB131" s="54"/>
      <c r="AC131" s="54"/>
      <c r="AD131" s="54"/>
      <c r="AG131" s="54"/>
      <c r="AH131" s="54"/>
      <c r="AI131" s="54"/>
    </row>
    <row r="132" spans="18:35" x14ac:dyDescent="0.2">
      <c r="R132" s="54"/>
      <c r="S132" s="54"/>
      <c r="T132" s="54"/>
      <c r="W132" s="54"/>
      <c r="X132" s="54"/>
      <c r="Y132" s="54"/>
      <c r="AB132" s="54"/>
      <c r="AC132" s="54"/>
      <c r="AD132" s="54"/>
      <c r="AG132" s="54"/>
      <c r="AH132" s="54"/>
      <c r="AI132" s="54"/>
    </row>
    <row r="133" spans="18:35" x14ac:dyDescent="0.2">
      <c r="R133" s="54"/>
      <c r="S133" s="54"/>
      <c r="T133" s="54"/>
      <c r="W133" s="54"/>
      <c r="X133" s="54"/>
      <c r="Y133" s="54"/>
      <c r="AB133" s="54"/>
      <c r="AC133" s="54"/>
      <c r="AD133" s="54"/>
      <c r="AG133" s="54"/>
      <c r="AH133" s="54"/>
      <c r="AI133" s="54"/>
    </row>
    <row r="134" spans="18:35" x14ac:dyDescent="0.2">
      <c r="R134" s="54"/>
      <c r="S134" s="54"/>
      <c r="T134" s="54"/>
      <c r="W134" s="54"/>
      <c r="X134" s="54"/>
      <c r="Y134" s="54"/>
      <c r="AB134" s="54"/>
      <c r="AC134" s="54"/>
      <c r="AD134" s="54"/>
      <c r="AG134" s="54"/>
      <c r="AH134" s="54"/>
      <c r="AI134" s="54"/>
    </row>
    <row r="135" spans="18:35" x14ac:dyDescent="0.2">
      <c r="R135" s="54"/>
      <c r="S135" s="54"/>
      <c r="T135" s="54"/>
      <c r="W135" s="54"/>
      <c r="X135" s="54"/>
      <c r="Y135" s="54"/>
      <c r="AB135" s="54"/>
      <c r="AC135" s="54"/>
      <c r="AD135" s="54"/>
      <c r="AG135" s="54"/>
      <c r="AH135" s="54"/>
      <c r="AI135" s="54"/>
    </row>
    <row r="136" spans="18:35" x14ac:dyDescent="0.2">
      <c r="R136" s="54"/>
      <c r="S136" s="54"/>
      <c r="T136" s="54"/>
      <c r="W136" s="54"/>
      <c r="X136" s="54"/>
      <c r="Y136" s="54"/>
      <c r="AB136" s="54"/>
      <c r="AC136" s="54"/>
      <c r="AD136" s="54"/>
      <c r="AG136" s="54"/>
      <c r="AH136" s="54"/>
      <c r="AI136" s="54"/>
    </row>
    <row r="137" spans="18:35" x14ac:dyDescent="0.2">
      <c r="R137" s="54"/>
      <c r="S137" s="54"/>
      <c r="T137" s="54"/>
      <c r="W137" s="54"/>
      <c r="X137" s="54"/>
      <c r="Y137" s="54"/>
      <c r="AB137" s="54"/>
      <c r="AC137" s="54"/>
      <c r="AD137" s="54"/>
      <c r="AG137" s="54"/>
      <c r="AH137" s="54"/>
      <c r="AI137" s="54"/>
    </row>
    <row r="138" spans="18:35" x14ac:dyDescent="0.2">
      <c r="R138" s="54"/>
      <c r="S138" s="54"/>
      <c r="T138" s="54"/>
      <c r="W138" s="54"/>
      <c r="X138" s="54"/>
      <c r="Y138" s="54"/>
      <c r="AB138" s="54"/>
      <c r="AC138" s="54"/>
      <c r="AD138" s="54"/>
      <c r="AG138" s="54"/>
      <c r="AH138" s="54"/>
      <c r="AI138" s="54"/>
    </row>
    <row r="139" spans="18:35" x14ac:dyDescent="0.2">
      <c r="R139" s="54"/>
      <c r="S139" s="54"/>
      <c r="T139" s="54"/>
      <c r="W139" s="54"/>
      <c r="X139" s="54"/>
      <c r="Y139" s="54"/>
      <c r="AB139" s="54"/>
      <c r="AC139" s="54"/>
      <c r="AD139" s="54"/>
      <c r="AG139" s="54"/>
      <c r="AH139" s="54"/>
      <c r="AI139" s="54"/>
    </row>
    <row r="140" spans="18:35" x14ac:dyDescent="0.2">
      <c r="R140" s="54"/>
      <c r="S140" s="54"/>
      <c r="T140" s="54"/>
      <c r="W140" s="54"/>
      <c r="X140" s="54"/>
      <c r="Y140" s="54"/>
      <c r="AB140" s="54"/>
      <c r="AC140" s="54"/>
      <c r="AD140" s="54"/>
      <c r="AG140" s="54"/>
      <c r="AH140" s="54"/>
      <c r="AI140" s="54"/>
    </row>
    <row r="141" spans="18:35" x14ac:dyDescent="0.2">
      <c r="R141" s="54"/>
      <c r="S141" s="54"/>
      <c r="T141" s="54"/>
      <c r="W141" s="54"/>
      <c r="X141" s="54"/>
      <c r="Y141" s="54"/>
      <c r="AB141" s="54"/>
      <c r="AC141" s="54"/>
      <c r="AD141" s="54"/>
      <c r="AG141" s="54"/>
      <c r="AH141" s="54"/>
      <c r="AI141" s="54"/>
    </row>
    <row r="142" spans="18:35" x14ac:dyDescent="0.2">
      <c r="R142" s="54"/>
      <c r="S142" s="54"/>
      <c r="T142" s="54"/>
      <c r="W142" s="54"/>
      <c r="X142" s="54"/>
      <c r="Y142" s="54"/>
      <c r="AB142" s="54"/>
      <c r="AC142" s="54"/>
      <c r="AD142" s="54"/>
      <c r="AG142" s="54"/>
      <c r="AH142" s="54"/>
      <c r="AI142" s="54"/>
    </row>
    <row r="143" spans="18:35" x14ac:dyDescent="0.2">
      <c r="R143" s="54"/>
      <c r="S143" s="54"/>
      <c r="T143" s="54"/>
      <c r="W143" s="54"/>
      <c r="X143" s="54"/>
      <c r="Y143" s="54"/>
      <c r="AB143" s="54"/>
      <c r="AC143" s="54"/>
      <c r="AD143" s="54"/>
      <c r="AG143" s="54"/>
      <c r="AH143" s="54"/>
      <c r="AI143" s="54"/>
    </row>
    <row r="144" spans="18:35" x14ac:dyDescent="0.2">
      <c r="R144" s="54"/>
      <c r="S144" s="54"/>
      <c r="T144" s="54"/>
      <c r="W144" s="54"/>
      <c r="X144" s="54"/>
      <c r="Y144" s="54"/>
      <c r="AB144" s="54"/>
      <c r="AC144" s="54"/>
      <c r="AD144" s="54"/>
      <c r="AG144" s="54"/>
      <c r="AH144" s="54"/>
      <c r="AI144" s="54"/>
    </row>
    <row r="145" spans="18:35" x14ac:dyDescent="0.2">
      <c r="R145" s="54"/>
      <c r="S145" s="54"/>
      <c r="T145" s="54"/>
      <c r="W145" s="54"/>
      <c r="X145" s="54"/>
      <c r="Y145" s="54"/>
      <c r="AB145" s="54"/>
      <c r="AC145" s="54"/>
      <c r="AD145" s="54"/>
      <c r="AG145" s="54"/>
      <c r="AH145" s="54"/>
      <c r="AI145" s="54"/>
    </row>
    <row r="146" spans="18:35" x14ac:dyDescent="0.2">
      <c r="R146" s="54"/>
      <c r="S146" s="54"/>
      <c r="T146" s="54"/>
      <c r="W146" s="54"/>
      <c r="X146" s="54"/>
      <c r="Y146" s="54"/>
      <c r="AB146" s="54"/>
      <c r="AC146" s="54"/>
      <c r="AD146" s="54"/>
      <c r="AG146" s="54"/>
      <c r="AH146" s="54"/>
      <c r="AI146" s="54"/>
    </row>
    <row r="147" spans="18:35" x14ac:dyDescent="0.2">
      <c r="R147" s="54"/>
      <c r="S147" s="54"/>
      <c r="T147" s="54"/>
      <c r="W147" s="54"/>
      <c r="X147" s="54"/>
      <c r="Y147" s="54"/>
      <c r="AB147" s="54"/>
      <c r="AC147" s="54"/>
      <c r="AD147" s="54"/>
      <c r="AG147" s="54"/>
      <c r="AH147" s="54"/>
      <c r="AI147" s="54"/>
    </row>
    <row r="148" spans="18:35" x14ac:dyDescent="0.2">
      <c r="R148" s="54"/>
      <c r="S148" s="54"/>
      <c r="T148" s="54"/>
      <c r="W148" s="54"/>
      <c r="X148" s="54"/>
      <c r="Y148" s="54"/>
      <c r="AB148" s="54"/>
      <c r="AC148" s="54"/>
      <c r="AD148" s="54"/>
      <c r="AG148" s="54"/>
      <c r="AH148" s="54"/>
      <c r="AI148" s="54"/>
    </row>
    <row r="149" spans="18:35" x14ac:dyDescent="0.2">
      <c r="R149" s="54"/>
      <c r="S149" s="54"/>
      <c r="T149" s="54"/>
      <c r="W149" s="54"/>
      <c r="X149" s="54"/>
      <c r="Y149" s="54"/>
      <c r="AB149" s="54"/>
      <c r="AC149" s="54"/>
      <c r="AD149" s="54"/>
      <c r="AG149" s="54"/>
      <c r="AH149" s="54"/>
      <c r="AI149" s="54"/>
    </row>
    <row r="150" spans="18:35" x14ac:dyDescent="0.2">
      <c r="R150" s="54"/>
      <c r="S150" s="54"/>
      <c r="T150" s="54"/>
      <c r="W150" s="54"/>
      <c r="X150" s="54"/>
      <c r="Y150" s="54"/>
      <c r="AB150" s="54"/>
      <c r="AC150" s="54"/>
      <c r="AD150" s="54"/>
      <c r="AG150" s="54"/>
      <c r="AH150" s="54"/>
      <c r="AI150" s="54"/>
    </row>
    <row r="151" spans="18:35" x14ac:dyDescent="0.2">
      <c r="R151" s="54"/>
      <c r="S151" s="54"/>
      <c r="T151" s="54"/>
      <c r="W151" s="54"/>
      <c r="X151" s="54"/>
      <c r="Y151" s="54"/>
      <c r="AB151" s="54"/>
      <c r="AC151" s="54"/>
      <c r="AD151" s="54"/>
      <c r="AG151" s="54"/>
      <c r="AH151" s="54"/>
      <c r="AI151" s="54"/>
    </row>
    <row r="152" spans="18:35" x14ac:dyDescent="0.2">
      <c r="R152" s="54"/>
      <c r="S152" s="54"/>
      <c r="T152" s="54"/>
      <c r="W152" s="54"/>
      <c r="X152" s="54"/>
      <c r="Y152" s="54"/>
      <c r="AB152" s="54"/>
      <c r="AC152" s="54"/>
      <c r="AD152" s="54"/>
      <c r="AG152" s="54"/>
      <c r="AH152" s="54"/>
      <c r="AI152" s="54"/>
    </row>
    <row r="153" spans="18:35" x14ac:dyDescent="0.2">
      <c r="R153" s="54"/>
      <c r="S153" s="54"/>
      <c r="T153" s="54"/>
      <c r="W153" s="54"/>
      <c r="X153" s="54"/>
      <c r="Y153" s="54"/>
      <c r="AB153" s="54"/>
      <c r="AC153" s="54"/>
      <c r="AD153" s="54"/>
      <c r="AG153" s="54"/>
      <c r="AH153" s="54"/>
      <c r="AI153" s="54"/>
    </row>
    <row r="154" spans="18:35" x14ac:dyDescent="0.2">
      <c r="R154" s="54"/>
      <c r="S154" s="54"/>
      <c r="T154" s="54"/>
      <c r="W154" s="54"/>
      <c r="X154" s="54"/>
      <c r="Y154" s="54"/>
      <c r="AB154" s="54"/>
      <c r="AC154" s="54"/>
      <c r="AD154" s="54"/>
      <c r="AG154" s="54"/>
      <c r="AH154" s="54"/>
      <c r="AI154" s="54"/>
    </row>
    <row r="155" spans="18:35" x14ac:dyDescent="0.2">
      <c r="R155" s="54"/>
      <c r="S155" s="54"/>
      <c r="T155" s="54"/>
      <c r="W155" s="54"/>
      <c r="X155" s="54"/>
      <c r="Y155" s="54"/>
      <c r="AB155" s="54"/>
      <c r="AC155" s="54"/>
      <c r="AD155" s="54"/>
      <c r="AG155" s="54"/>
      <c r="AH155" s="54"/>
      <c r="AI155" s="54"/>
    </row>
    <row r="156" spans="18:35" x14ac:dyDescent="0.2">
      <c r="R156" s="54"/>
      <c r="S156" s="54"/>
      <c r="T156" s="54"/>
      <c r="W156" s="54"/>
      <c r="X156" s="54"/>
      <c r="Y156" s="54"/>
      <c r="AB156" s="54"/>
      <c r="AC156" s="54"/>
      <c r="AD156" s="54"/>
      <c r="AG156" s="54"/>
      <c r="AH156" s="54"/>
      <c r="AI156" s="54"/>
    </row>
    <row r="157" spans="18:35" x14ac:dyDescent="0.2">
      <c r="R157" s="54"/>
      <c r="S157" s="54"/>
      <c r="T157" s="54"/>
      <c r="W157" s="54"/>
      <c r="X157" s="54"/>
      <c r="Y157" s="54"/>
      <c r="AB157" s="54"/>
      <c r="AC157" s="54"/>
      <c r="AD157" s="54"/>
      <c r="AG157" s="54"/>
      <c r="AH157" s="54"/>
      <c r="AI157" s="54"/>
    </row>
    <row r="158" spans="18:35" x14ac:dyDescent="0.2">
      <c r="R158" s="54"/>
      <c r="S158" s="54"/>
      <c r="T158" s="54"/>
      <c r="W158" s="54"/>
      <c r="X158" s="54"/>
      <c r="Y158" s="54"/>
      <c r="AB158" s="54"/>
      <c r="AC158" s="54"/>
      <c r="AD158" s="54"/>
      <c r="AG158" s="54"/>
      <c r="AH158" s="54"/>
      <c r="AI158" s="54"/>
    </row>
    <row r="159" spans="18:35" x14ac:dyDescent="0.2">
      <c r="R159" s="54"/>
      <c r="S159" s="54"/>
      <c r="T159" s="54"/>
      <c r="W159" s="54"/>
      <c r="X159" s="54"/>
      <c r="Y159" s="54"/>
      <c r="AB159" s="54"/>
      <c r="AC159" s="54"/>
      <c r="AD159" s="54"/>
      <c r="AG159" s="54"/>
      <c r="AH159" s="54"/>
      <c r="AI159" s="54"/>
    </row>
    <row r="160" spans="18:35" x14ac:dyDescent="0.2">
      <c r="R160" s="54"/>
      <c r="S160" s="54"/>
      <c r="T160" s="54"/>
      <c r="W160" s="54"/>
      <c r="X160" s="54"/>
      <c r="Y160" s="54"/>
      <c r="AB160" s="54"/>
      <c r="AC160" s="54"/>
      <c r="AD160" s="54"/>
      <c r="AG160" s="54"/>
      <c r="AH160" s="54"/>
      <c r="AI160" s="54"/>
    </row>
    <row r="161" spans="18:35" x14ac:dyDescent="0.2">
      <c r="R161" s="54"/>
      <c r="S161" s="54"/>
      <c r="T161" s="54"/>
      <c r="W161" s="54"/>
      <c r="X161" s="54"/>
      <c r="Y161" s="54"/>
      <c r="AB161" s="54"/>
      <c r="AC161" s="54"/>
      <c r="AD161" s="54"/>
      <c r="AG161" s="54"/>
      <c r="AH161" s="54"/>
      <c r="AI161" s="54"/>
    </row>
    <row r="162" spans="18:35" x14ac:dyDescent="0.2">
      <c r="R162" s="54"/>
      <c r="S162" s="54"/>
      <c r="T162" s="54"/>
      <c r="W162" s="54"/>
      <c r="X162" s="54"/>
      <c r="Y162" s="54"/>
      <c r="AB162" s="54"/>
      <c r="AC162" s="54"/>
      <c r="AD162" s="54"/>
      <c r="AG162" s="54"/>
      <c r="AH162" s="54"/>
      <c r="AI162" s="54"/>
    </row>
    <row r="163" spans="18:35" x14ac:dyDescent="0.2">
      <c r="R163" s="54"/>
      <c r="S163" s="54"/>
      <c r="T163" s="54"/>
      <c r="W163" s="54"/>
      <c r="X163" s="54"/>
      <c r="Y163" s="54"/>
      <c r="AB163" s="54"/>
      <c r="AC163" s="54"/>
      <c r="AD163" s="54"/>
      <c r="AG163" s="54"/>
      <c r="AH163" s="54"/>
      <c r="AI163" s="54"/>
    </row>
    <row r="164" spans="18:35" x14ac:dyDescent="0.2">
      <c r="R164" s="54"/>
      <c r="S164" s="54"/>
      <c r="T164" s="54"/>
      <c r="W164" s="54"/>
      <c r="X164" s="54"/>
      <c r="Y164" s="54"/>
      <c r="AB164" s="54"/>
      <c r="AC164" s="54"/>
      <c r="AD164" s="54"/>
      <c r="AG164" s="54"/>
      <c r="AH164" s="54"/>
      <c r="AI164" s="54"/>
    </row>
    <row r="165" spans="18:35" x14ac:dyDescent="0.2">
      <c r="R165" s="54"/>
      <c r="S165" s="54"/>
      <c r="T165" s="54"/>
      <c r="W165" s="54"/>
      <c r="X165" s="54"/>
      <c r="Y165" s="54"/>
      <c r="AB165" s="54"/>
      <c r="AC165" s="54"/>
      <c r="AD165" s="54"/>
      <c r="AG165" s="54"/>
      <c r="AH165" s="54"/>
      <c r="AI165" s="54"/>
    </row>
    <row r="166" spans="18:35" x14ac:dyDescent="0.2">
      <c r="R166" s="54"/>
      <c r="S166" s="54"/>
      <c r="T166" s="54"/>
      <c r="W166" s="54"/>
      <c r="X166" s="54"/>
      <c r="Y166" s="54"/>
      <c r="AB166" s="54"/>
      <c r="AC166" s="54"/>
      <c r="AD166" s="54"/>
      <c r="AG166" s="54"/>
      <c r="AH166" s="54"/>
      <c r="AI166" s="54"/>
    </row>
    <row r="167" spans="18:35" x14ac:dyDescent="0.2">
      <c r="R167" s="54"/>
      <c r="S167" s="54"/>
      <c r="T167" s="54"/>
      <c r="W167" s="54"/>
      <c r="X167" s="54"/>
      <c r="Y167" s="54"/>
      <c r="AB167" s="54"/>
      <c r="AC167" s="54"/>
      <c r="AD167" s="54"/>
      <c r="AG167" s="54"/>
      <c r="AH167" s="54"/>
      <c r="AI167" s="54"/>
    </row>
    <row r="168" spans="18:35" x14ac:dyDescent="0.2">
      <c r="R168" s="54"/>
      <c r="S168" s="54"/>
      <c r="T168" s="54"/>
      <c r="W168" s="54"/>
      <c r="X168" s="54"/>
      <c r="Y168" s="54"/>
      <c r="AB168" s="54"/>
      <c r="AC168" s="54"/>
      <c r="AD168" s="54"/>
      <c r="AG168" s="54"/>
      <c r="AH168" s="54"/>
      <c r="AI168" s="54"/>
    </row>
    <row r="169" spans="18:35" x14ac:dyDescent="0.2">
      <c r="R169" s="54"/>
      <c r="S169" s="54"/>
      <c r="T169" s="54"/>
      <c r="W169" s="54"/>
      <c r="X169" s="54"/>
      <c r="Y169" s="54"/>
      <c r="AB169" s="54"/>
      <c r="AC169" s="54"/>
      <c r="AD169" s="54"/>
      <c r="AG169" s="54"/>
      <c r="AH169" s="54"/>
      <c r="AI169" s="54"/>
    </row>
    <row r="170" spans="18:35" x14ac:dyDescent="0.2">
      <c r="R170" s="54"/>
      <c r="S170" s="54"/>
      <c r="T170" s="54"/>
      <c r="W170" s="54"/>
      <c r="X170" s="54"/>
      <c r="Y170" s="54"/>
      <c r="AB170" s="54"/>
      <c r="AC170" s="54"/>
      <c r="AD170" s="54"/>
      <c r="AG170" s="54"/>
      <c r="AH170" s="54"/>
      <c r="AI170" s="54"/>
    </row>
    <row r="171" spans="18:35" x14ac:dyDescent="0.2">
      <c r="R171" s="54"/>
      <c r="S171" s="54"/>
      <c r="T171" s="54"/>
      <c r="W171" s="54"/>
      <c r="X171" s="54"/>
      <c r="Y171" s="54"/>
      <c r="AB171" s="54"/>
      <c r="AC171" s="54"/>
      <c r="AD171" s="54"/>
      <c r="AG171" s="54"/>
      <c r="AH171" s="54"/>
      <c r="AI171" s="54"/>
    </row>
    <row r="172" spans="18:35" x14ac:dyDescent="0.2">
      <c r="R172" s="54"/>
      <c r="S172" s="54"/>
      <c r="T172" s="54"/>
      <c r="W172" s="54"/>
      <c r="X172" s="54"/>
      <c r="Y172" s="54"/>
      <c r="AB172" s="54"/>
      <c r="AC172" s="54"/>
      <c r="AD172" s="54"/>
      <c r="AG172" s="54"/>
      <c r="AH172" s="54"/>
      <c r="AI172" s="54"/>
    </row>
    <row r="173" spans="18:35" x14ac:dyDescent="0.2">
      <c r="R173" s="54"/>
      <c r="S173" s="54"/>
      <c r="T173" s="54"/>
      <c r="W173" s="54"/>
      <c r="X173" s="54"/>
      <c r="Y173" s="54"/>
      <c r="AB173" s="54"/>
      <c r="AC173" s="54"/>
      <c r="AD173" s="54"/>
      <c r="AG173" s="54"/>
      <c r="AH173" s="54"/>
      <c r="AI173" s="54"/>
    </row>
    <row r="174" spans="18:35" x14ac:dyDescent="0.2">
      <c r="R174" s="54"/>
      <c r="S174" s="54"/>
      <c r="T174" s="54"/>
      <c r="W174" s="54"/>
      <c r="X174" s="54"/>
      <c r="Y174" s="54"/>
      <c r="AB174" s="54"/>
      <c r="AC174" s="54"/>
      <c r="AD174" s="54"/>
      <c r="AG174" s="54"/>
      <c r="AH174" s="54"/>
      <c r="AI174" s="54"/>
    </row>
    <row r="175" spans="18:35" x14ac:dyDescent="0.2">
      <c r="R175" s="54"/>
      <c r="S175" s="54"/>
      <c r="T175" s="54"/>
      <c r="W175" s="54"/>
      <c r="X175" s="54"/>
      <c r="Y175" s="54"/>
      <c r="AB175" s="54"/>
      <c r="AC175" s="54"/>
      <c r="AD175" s="54"/>
      <c r="AG175" s="54"/>
      <c r="AH175" s="54"/>
      <c r="AI175" s="54"/>
    </row>
    <row r="176" spans="18:35" x14ac:dyDescent="0.2">
      <c r="R176" s="54"/>
      <c r="S176" s="54"/>
      <c r="T176" s="54"/>
      <c r="W176" s="54"/>
      <c r="X176" s="54"/>
      <c r="Y176" s="54"/>
      <c r="AB176" s="54"/>
      <c r="AC176" s="54"/>
      <c r="AD176" s="54"/>
      <c r="AG176" s="54"/>
      <c r="AH176" s="54"/>
      <c r="AI176" s="54"/>
    </row>
    <row r="177" spans="18:35" x14ac:dyDescent="0.2">
      <c r="R177" s="54"/>
      <c r="S177" s="54"/>
      <c r="T177" s="54"/>
      <c r="W177" s="54"/>
      <c r="X177" s="54"/>
      <c r="Y177" s="54"/>
      <c r="AB177" s="54"/>
      <c r="AC177" s="54"/>
      <c r="AD177" s="54"/>
      <c r="AG177" s="54"/>
      <c r="AH177" s="54"/>
      <c r="AI177" s="54"/>
    </row>
    <row r="178" spans="18:35" x14ac:dyDescent="0.2">
      <c r="R178" s="54"/>
      <c r="S178" s="54"/>
      <c r="T178" s="54"/>
      <c r="W178" s="54"/>
      <c r="X178" s="54"/>
      <c r="Y178" s="54"/>
      <c r="AB178" s="54"/>
      <c r="AC178" s="54"/>
      <c r="AD178" s="54"/>
      <c r="AG178" s="54"/>
      <c r="AH178" s="54"/>
      <c r="AI178" s="54"/>
    </row>
    <row r="179" spans="18:35" x14ac:dyDescent="0.2">
      <c r="R179" s="54"/>
      <c r="S179" s="54"/>
      <c r="T179" s="54"/>
      <c r="W179" s="54"/>
      <c r="X179" s="54"/>
      <c r="Y179" s="54"/>
      <c r="AB179" s="54"/>
      <c r="AC179" s="54"/>
      <c r="AD179" s="54"/>
      <c r="AG179" s="54"/>
      <c r="AH179" s="54"/>
      <c r="AI179" s="54"/>
    </row>
    <row r="180" spans="18:35" x14ac:dyDescent="0.2">
      <c r="R180" s="54"/>
      <c r="S180" s="54"/>
      <c r="T180" s="54"/>
      <c r="W180" s="54"/>
      <c r="X180" s="54"/>
      <c r="Y180" s="54"/>
      <c r="AB180" s="54"/>
      <c r="AC180" s="54"/>
      <c r="AD180" s="54"/>
      <c r="AG180" s="54"/>
      <c r="AH180" s="54"/>
      <c r="AI180" s="54"/>
    </row>
    <row r="181" spans="18:35" x14ac:dyDescent="0.2">
      <c r="R181" s="54"/>
      <c r="S181" s="54"/>
      <c r="T181" s="54"/>
      <c r="W181" s="54"/>
      <c r="X181" s="54"/>
      <c r="Y181" s="54"/>
      <c r="AB181" s="54"/>
      <c r="AC181" s="54"/>
      <c r="AD181" s="54"/>
      <c r="AG181" s="54"/>
      <c r="AH181" s="54"/>
      <c r="AI181" s="54"/>
    </row>
    <row r="182" spans="18:35" x14ac:dyDescent="0.2">
      <c r="R182" s="54"/>
      <c r="S182" s="54"/>
      <c r="T182" s="54"/>
      <c r="W182" s="54"/>
      <c r="X182" s="54"/>
      <c r="Y182" s="54"/>
      <c r="AB182" s="54"/>
      <c r="AC182" s="54"/>
      <c r="AD182" s="54"/>
      <c r="AG182" s="54"/>
      <c r="AH182" s="54"/>
      <c r="AI182" s="54"/>
    </row>
    <row r="183" spans="18:35" x14ac:dyDescent="0.2">
      <c r="R183" s="54"/>
      <c r="S183" s="54"/>
      <c r="T183" s="54"/>
      <c r="W183" s="54"/>
      <c r="X183" s="54"/>
      <c r="Y183" s="54"/>
      <c r="AB183" s="54"/>
      <c r="AC183" s="54"/>
      <c r="AD183" s="54"/>
      <c r="AG183" s="54"/>
      <c r="AH183" s="54"/>
      <c r="AI183" s="54"/>
    </row>
    <row r="184" spans="18:35" x14ac:dyDescent="0.2">
      <c r="R184" s="54"/>
      <c r="S184" s="54"/>
      <c r="T184" s="54"/>
      <c r="W184" s="54"/>
      <c r="X184" s="54"/>
      <c r="Y184" s="54"/>
      <c r="AB184" s="54"/>
      <c r="AC184" s="54"/>
      <c r="AD184" s="54"/>
      <c r="AG184" s="54"/>
      <c r="AH184" s="54"/>
      <c r="AI184" s="54"/>
    </row>
    <row r="185" spans="18:35" x14ac:dyDescent="0.2">
      <c r="R185" s="54"/>
      <c r="S185" s="54"/>
      <c r="T185" s="54"/>
      <c r="W185" s="54"/>
      <c r="X185" s="54"/>
      <c r="Y185" s="54"/>
      <c r="AB185" s="54"/>
      <c r="AC185" s="54"/>
      <c r="AD185" s="54"/>
      <c r="AG185" s="54"/>
      <c r="AH185" s="54"/>
      <c r="AI185" s="54"/>
    </row>
    <row r="186" spans="18:35" x14ac:dyDescent="0.2">
      <c r="R186" s="54"/>
      <c r="S186" s="54"/>
      <c r="T186" s="54"/>
      <c r="W186" s="54"/>
      <c r="X186" s="54"/>
      <c r="Y186" s="54"/>
      <c r="AB186" s="54"/>
      <c r="AC186" s="54"/>
      <c r="AD186" s="54"/>
      <c r="AG186" s="54"/>
      <c r="AH186" s="54"/>
      <c r="AI186" s="54"/>
    </row>
    <row r="187" spans="18:35" x14ac:dyDescent="0.2">
      <c r="R187" s="54"/>
      <c r="S187" s="54"/>
      <c r="T187" s="54"/>
      <c r="W187" s="54"/>
      <c r="X187" s="54"/>
      <c r="Y187" s="54"/>
      <c r="AB187" s="54"/>
      <c r="AC187" s="54"/>
      <c r="AD187" s="54"/>
      <c r="AG187" s="54"/>
      <c r="AH187" s="54"/>
      <c r="AI187" s="54"/>
    </row>
    <row r="188" spans="18:35" x14ac:dyDescent="0.2">
      <c r="R188" s="54"/>
      <c r="S188" s="54"/>
      <c r="T188" s="54"/>
      <c r="W188" s="54"/>
      <c r="X188" s="54"/>
      <c r="Y188" s="54"/>
      <c r="AB188" s="54"/>
      <c r="AC188" s="54"/>
      <c r="AD188" s="54"/>
      <c r="AG188" s="54"/>
      <c r="AH188" s="54"/>
      <c r="AI188" s="54"/>
    </row>
    <row r="189" spans="18:35" x14ac:dyDescent="0.2">
      <c r="R189" s="54"/>
      <c r="S189" s="54"/>
      <c r="T189" s="54"/>
      <c r="W189" s="54"/>
      <c r="X189" s="54"/>
      <c r="Y189" s="54"/>
      <c r="AB189" s="54"/>
      <c r="AC189" s="54"/>
      <c r="AD189" s="54"/>
      <c r="AG189" s="54"/>
      <c r="AH189" s="54"/>
      <c r="AI189" s="54"/>
    </row>
    <row r="190" spans="18:35" x14ac:dyDescent="0.2">
      <c r="R190" s="54"/>
      <c r="S190" s="54"/>
      <c r="T190" s="54"/>
      <c r="W190" s="54"/>
      <c r="X190" s="54"/>
      <c r="Y190" s="54"/>
      <c r="AB190" s="54"/>
      <c r="AC190" s="54"/>
      <c r="AD190" s="54"/>
      <c r="AG190" s="54"/>
      <c r="AH190" s="54"/>
      <c r="AI190" s="54"/>
    </row>
    <row r="191" spans="18:35" x14ac:dyDescent="0.2">
      <c r="R191" s="54"/>
      <c r="S191" s="54"/>
      <c r="T191" s="54"/>
      <c r="W191" s="54"/>
      <c r="X191" s="54"/>
      <c r="Y191" s="54"/>
      <c r="AB191" s="54"/>
      <c r="AC191" s="54"/>
      <c r="AD191" s="54"/>
      <c r="AG191" s="54"/>
      <c r="AH191" s="54"/>
      <c r="AI191" s="54"/>
    </row>
    <row r="192" spans="18:35" x14ac:dyDescent="0.2">
      <c r="R192" s="54"/>
      <c r="S192" s="54"/>
      <c r="T192" s="54"/>
      <c r="W192" s="54"/>
      <c r="X192" s="54"/>
      <c r="Y192" s="54"/>
      <c r="AB192" s="54"/>
      <c r="AC192" s="54"/>
      <c r="AD192" s="54"/>
      <c r="AG192" s="54"/>
      <c r="AH192" s="54"/>
      <c r="AI192" s="54"/>
    </row>
    <row r="193" spans="18:35" x14ac:dyDescent="0.2">
      <c r="R193" s="54"/>
      <c r="S193" s="54"/>
      <c r="T193" s="54"/>
      <c r="W193" s="54"/>
      <c r="X193" s="54"/>
      <c r="Y193" s="54"/>
      <c r="AB193" s="54"/>
      <c r="AC193" s="54"/>
      <c r="AD193" s="54"/>
      <c r="AG193" s="54"/>
      <c r="AH193" s="54"/>
      <c r="AI193" s="54"/>
    </row>
    <row r="194" spans="18:35" x14ac:dyDescent="0.2">
      <c r="R194" s="54"/>
      <c r="S194" s="54"/>
      <c r="T194" s="54"/>
      <c r="W194" s="54"/>
      <c r="X194" s="54"/>
      <c r="Y194" s="54"/>
      <c r="AB194" s="54"/>
      <c r="AC194" s="54"/>
      <c r="AD194" s="54"/>
      <c r="AG194" s="54"/>
      <c r="AH194" s="54"/>
      <c r="AI194" s="54"/>
    </row>
    <row r="195" spans="18:35" x14ac:dyDescent="0.2">
      <c r="R195" s="54"/>
      <c r="S195" s="54"/>
      <c r="T195" s="54"/>
      <c r="W195" s="54"/>
      <c r="X195" s="54"/>
      <c r="Y195" s="54"/>
      <c r="AB195" s="54"/>
      <c r="AC195" s="54"/>
      <c r="AD195" s="54"/>
      <c r="AG195" s="54"/>
      <c r="AH195" s="54"/>
      <c r="AI195" s="54"/>
    </row>
    <row r="196" spans="18:35" x14ac:dyDescent="0.2">
      <c r="R196" s="54"/>
      <c r="S196" s="54"/>
      <c r="T196" s="54"/>
      <c r="W196" s="54"/>
      <c r="X196" s="54"/>
      <c r="Y196" s="54"/>
      <c r="AB196" s="54"/>
      <c r="AC196" s="54"/>
      <c r="AD196" s="54"/>
      <c r="AG196" s="54"/>
      <c r="AH196" s="54"/>
      <c r="AI196" s="54"/>
    </row>
    <row r="197" spans="18:35" x14ac:dyDescent="0.2">
      <c r="R197" s="54"/>
      <c r="S197" s="54"/>
      <c r="T197" s="54"/>
      <c r="W197" s="54"/>
      <c r="X197" s="54"/>
      <c r="Y197" s="54"/>
      <c r="AB197" s="54"/>
      <c r="AC197" s="54"/>
      <c r="AD197" s="54"/>
      <c r="AG197" s="54"/>
      <c r="AH197" s="54"/>
      <c r="AI197" s="54"/>
    </row>
    <row r="198" spans="18:35" x14ac:dyDescent="0.2">
      <c r="R198" s="54"/>
      <c r="S198" s="54"/>
      <c r="T198" s="54"/>
      <c r="W198" s="54"/>
      <c r="X198" s="54"/>
      <c r="Y198" s="54"/>
      <c r="AB198" s="54"/>
      <c r="AC198" s="54"/>
      <c r="AD198" s="54"/>
      <c r="AG198" s="54"/>
      <c r="AH198" s="54"/>
      <c r="AI198" s="54"/>
    </row>
    <row r="199" spans="18:35" x14ac:dyDescent="0.2">
      <c r="R199" s="54"/>
      <c r="S199" s="54"/>
      <c r="T199" s="54"/>
      <c r="W199" s="54"/>
      <c r="X199" s="54"/>
      <c r="Y199" s="54"/>
      <c r="AB199" s="54"/>
      <c r="AC199" s="54"/>
      <c r="AD199" s="54"/>
      <c r="AG199" s="54"/>
      <c r="AH199" s="54"/>
      <c r="AI199" s="54"/>
    </row>
    <row r="200" spans="18:35" x14ac:dyDescent="0.2">
      <c r="R200" s="54"/>
      <c r="S200" s="54"/>
      <c r="T200" s="54"/>
      <c r="W200" s="54"/>
      <c r="X200" s="54"/>
      <c r="Y200" s="54"/>
      <c r="AB200" s="54"/>
      <c r="AC200" s="54"/>
      <c r="AD200" s="54"/>
      <c r="AG200" s="54"/>
      <c r="AH200" s="54"/>
      <c r="AI200" s="54"/>
    </row>
    <row r="201" spans="18:35" x14ac:dyDescent="0.2">
      <c r="R201" s="54"/>
      <c r="S201" s="54"/>
      <c r="T201" s="54"/>
      <c r="W201" s="54"/>
      <c r="X201" s="54"/>
      <c r="Y201" s="54"/>
      <c r="AB201" s="54"/>
      <c r="AC201" s="54"/>
      <c r="AD201" s="54"/>
      <c r="AG201" s="54"/>
      <c r="AH201" s="54"/>
      <c r="AI201" s="54"/>
    </row>
    <row r="202" spans="18:35" x14ac:dyDescent="0.2">
      <c r="R202" s="54"/>
      <c r="S202" s="54"/>
      <c r="T202" s="54"/>
      <c r="W202" s="54"/>
      <c r="X202" s="54"/>
      <c r="Y202" s="54"/>
      <c r="AB202" s="54"/>
      <c r="AC202" s="54"/>
      <c r="AD202" s="54"/>
      <c r="AG202" s="54"/>
      <c r="AH202" s="54"/>
      <c r="AI202" s="54"/>
    </row>
    <row r="203" spans="18:35" x14ac:dyDescent="0.2">
      <c r="R203" s="54"/>
      <c r="S203" s="54"/>
      <c r="T203" s="54"/>
      <c r="W203" s="54"/>
      <c r="X203" s="54"/>
      <c r="Y203" s="54"/>
      <c r="AB203" s="54"/>
      <c r="AC203" s="54"/>
      <c r="AD203" s="54"/>
      <c r="AG203" s="54"/>
      <c r="AH203" s="54"/>
      <c r="AI203" s="54"/>
    </row>
    <row r="204" spans="18:35" x14ac:dyDescent="0.2">
      <c r="R204" s="54"/>
      <c r="S204" s="54"/>
      <c r="T204" s="54"/>
      <c r="W204" s="54"/>
      <c r="X204" s="54"/>
      <c r="Y204" s="54"/>
      <c r="AB204" s="54"/>
      <c r="AC204" s="54"/>
      <c r="AD204" s="54"/>
      <c r="AG204" s="54"/>
      <c r="AH204" s="54"/>
      <c r="AI204" s="54"/>
    </row>
    <row r="205" spans="18:35" x14ac:dyDescent="0.2">
      <c r="R205" s="54"/>
      <c r="S205" s="54"/>
      <c r="T205" s="54"/>
      <c r="W205" s="54"/>
      <c r="X205" s="54"/>
      <c r="Y205" s="54"/>
      <c r="AB205" s="54"/>
      <c r="AC205" s="54"/>
      <c r="AD205" s="54"/>
      <c r="AG205" s="54"/>
      <c r="AH205" s="54"/>
      <c r="AI205" s="54"/>
    </row>
    <row r="206" spans="18:35" x14ac:dyDescent="0.2">
      <c r="R206" s="54"/>
      <c r="S206" s="54"/>
      <c r="T206" s="54"/>
      <c r="W206" s="54"/>
      <c r="X206" s="54"/>
      <c r="Y206" s="54"/>
      <c r="AB206" s="54"/>
      <c r="AC206" s="54"/>
      <c r="AD206" s="54"/>
      <c r="AG206" s="54"/>
      <c r="AH206" s="54"/>
      <c r="AI206" s="54"/>
    </row>
    <row r="207" spans="18:35" x14ac:dyDescent="0.2">
      <c r="R207" s="54"/>
      <c r="S207" s="54"/>
      <c r="T207" s="54"/>
      <c r="W207" s="54"/>
      <c r="X207" s="54"/>
      <c r="Y207" s="54"/>
      <c r="AB207" s="54"/>
      <c r="AC207" s="54"/>
      <c r="AD207" s="54"/>
      <c r="AG207" s="54"/>
      <c r="AH207" s="54"/>
      <c r="AI207" s="54"/>
    </row>
    <row r="208" spans="18:35" x14ac:dyDescent="0.2">
      <c r="R208" s="54"/>
      <c r="S208" s="54"/>
      <c r="T208" s="54"/>
      <c r="W208" s="54"/>
      <c r="X208" s="54"/>
      <c r="Y208" s="54"/>
      <c r="AB208" s="54"/>
      <c r="AC208" s="54"/>
      <c r="AD208" s="54"/>
      <c r="AG208" s="54"/>
      <c r="AH208" s="54"/>
      <c r="AI208" s="54"/>
    </row>
    <row r="209" spans="18:35" x14ac:dyDescent="0.2">
      <c r="R209" s="54"/>
      <c r="S209" s="54"/>
      <c r="T209" s="54"/>
      <c r="W209" s="54"/>
      <c r="X209" s="54"/>
      <c r="Y209" s="54"/>
      <c r="AB209" s="54"/>
      <c r="AC209" s="54"/>
      <c r="AD209" s="54"/>
      <c r="AG209" s="54"/>
      <c r="AH209" s="54"/>
      <c r="AI209" s="54"/>
    </row>
    <row r="210" spans="18:35" x14ac:dyDescent="0.2">
      <c r="R210" s="54"/>
      <c r="S210" s="54"/>
      <c r="T210" s="54"/>
      <c r="W210" s="54"/>
      <c r="X210" s="54"/>
      <c r="Y210" s="54"/>
      <c r="AB210" s="54"/>
      <c r="AC210" s="54"/>
      <c r="AD210" s="54"/>
      <c r="AG210" s="54"/>
      <c r="AH210" s="54"/>
      <c r="AI210" s="54"/>
    </row>
    <row r="211" spans="18:35" x14ac:dyDescent="0.2">
      <c r="R211" s="54"/>
      <c r="S211" s="54"/>
      <c r="T211" s="54"/>
      <c r="W211" s="54"/>
      <c r="X211" s="54"/>
      <c r="Y211" s="54"/>
      <c r="AB211" s="54"/>
      <c r="AC211" s="54"/>
      <c r="AD211" s="54"/>
      <c r="AG211" s="54"/>
      <c r="AH211" s="54"/>
      <c r="AI211" s="54"/>
    </row>
    <row r="212" spans="18:35" x14ac:dyDescent="0.2">
      <c r="R212" s="54"/>
      <c r="S212" s="54"/>
      <c r="T212" s="54"/>
      <c r="W212" s="54"/>
      <c r="X212" s="54"/>
      <c r="Y212" s="54"/>
      <c r="AB212" s="54"/>
      <c r="AC212" s="54"/>
      <c r="AD212" s="54"/>
      <c r="AG212" s="54"/>
      <c r="AH212" s="54"/>
      <c r="AI212" s="54"/>
    </row>
    <row r="213" spans="18:35" x14ac:dyDescent="0.2">
      <c r="R213" s="54"/>
      <c r="S213" s="54"/>
      <c r="T213" s="54"/>
      <c r="W213" s="54"/>
      <c r="X213" s="54"/>
      <c r="Y213" s="54"/>
      <c r="AB213" s="54"/>
      <c r="AC213" s="54"/>
      <c r="AD213" s="54"/>
      <c r="AG213" s="54"/>
      <c r="AH213" s="54"/>
      <c r="AI213" s="54"/>
    </row>
    <row r="214" spans="18:35" x14ac:dyDescent="0.2">
      <c r="R214" s="54"/>
      <c r="S214" s="54"/>
      <c r="T214" s="54"/>
      <c r="W214" s="54"/>
      <c r="X214" s="54"/>
      <c r="Y214" s="54"/>
      <c r="AB214" s="54"/>
      <c r="AC214" s="54"/>
      <c r="AD214" s="54"/>
      <c r="AG214" s="54"/>
      <c r="AH214" s="54"/>
      <c r="AI214" s="54"/>
    </row>
    <row r="215" spans="18:35" x14ac:dyDescent="0.2">
      <c r="R215" s="54"/>
      <c r="S215" s="54"/>
      <c r="T215" s="54"/>
      <c r="W215" s="54"/>
      <c r="X215" s="54"/>
      <c r="Y215" s="54"/>
      <c r="AB215" s="54"/>
      <c r="AC215" s="54"/>
      <c r="AD215" s="54"/>
      <c r="AG215" s="54"/>
      <c r="AH215" s="54"/>
      <c r="AI215" s="54"/>
    </row>
    <row r="216" spans="18:35" x14ac:dyDescent="0.2">
      <c r="R216" s="54"/>
      <c r="S216" s="54"/>
      <c r="T216" s="54"/>
      <c r="W216" s="54"/>
      <c r="X216" s="54"/>
      <c r="Y216" s="54"/>
      <c r="AB216" s="54"/>
      <c r="AC216" s="54"/>
      <c r="AD216" s="54"/>
      <c r="AG216" s="54"/>
      <c r="AH216" s="54"/>
      <c r="AI216" s="54"/>
    </row>
    <row r="217" spans="18:35" x14ac:dyDescent="0.2">
      <c r="R217" s="54"/>
      <c r="S217" s="54"/>
      <c r="T217" s="54"/>
      <c r="W217" s="54"/>
      <c r="X217" s="54"/>
      <c r="Y217" s="54"/>
      <c r="AB217" s="54"/>
      <c r="AC217" s="54"/>
      <c r="AD217" s="54"/>
      <c r="AG217" s="54"/>
      <c r="AH217" s="54"/>
      <c r="AI217" s="54"/>
    </row>
    <row r="218" spans="18:35" x14ac:dyDescent="0.2">
      <c r="R218" s="54"/>
      <c r="S218" s="54"/>
      <c r="T218" s="54"/>
      <c r="W218" s="54"/>
      <c r="X218" s="54"/>
      <c r="Y218" s="54"/>
      <c r="AB218" s="54"/>
      <c r="AC218" s="54"/>
      <c r="AD218" s="54"/>
      <c r="AG218" s="54"/>
      <c r="AH218" s="54"/>
      <c r="AI218" s="54"/>
    </row>
    <row r="219" spans="18:35" x14ac:dyDescent="0.2">
      <c r="R219" s="54"/>
      <c r="S219" s="54"/>
      <c r="T219" s="54"/>
      <c r="W219" s="54"/>
      <c r="X219" s="54"/>
      <c r="Y219" s="54"/>
      <c r="AB219" s="54"/>
      <c r="AC219" s="54"/>
      <c r="AD219" s="54"/>
      <c r="AG219" s="54"/>
      <c r="AH219" s="54"/>
      <c r="AI219" s="54"/>
    </row>
    <row r="220" spans="18:35" x14ac:dyDescent="0.2">
      <c r="R220" s="54"/>
      <c r="S220" s="54"/>
      <c r="T220" s="54"/>
      <c r="W220" s="54"/>
      <c r="X220" s="54"/>
      <c r="Y220" s="54"/>
      <c r="AB220" s="54"/>
      <c r="AC220" s="54"/>
      <c r="AD220" s="54"/>
      <c r="AG220" s="54"/>
      <c r="AH220" s="54"/>
      <c r="AI220" s="54"/>
    </row>
    <row r="221" spans="18:35" x14ac:dyDescent="0.2">
      <c r="R221" s="54"/>
      <c r="S221" s="54"/>
      <c r="T221" s="54"/>
      <c r="W221" s="54"/>
      <c r="X221" s="54"/>
      <c r="Y221" s="54"/>
      <c r="AB221" s="54"/>
      <c r="AC221" s="54"/>
      <c r="AD221" s="54"/>
      <c r="AG221" s="54"/>
      <c r="AH221" s="54"/>
      <c r="AI221" s="54"/>
    </row>
    <row r="222" spans="18:35" x14ac:dyDescent="0.2">
      <c r="R222" s="54"/>
      <c r="S222" s="54"/>
      <c r="T222" s="54"/>
      <c r="W222" s="54"/>
      <c r="X222" s="54"/>
      <c r="Y222" s="54"/>
      <c r="AB222" s="54"/>
      <c r="AC222" s="54"/>
      <c r="AD222" s="54"/>
      <c r="AG222" s="54"/>
      <c r="AH222" s="54"/>
      <c r="AI222" s="54"/>
    </row>
    <row r="223" spans="18:35" x14ac:dyDescent="0.2">
      <c r="R223" s="54"/>
      <c r="S223" s="54"/>
      <c r="T223" s="54"/>
      <c r="W223" s="54"/>
      <c r="X223" s="54"/>
      <c r="Y223" s="54"/>
      <c r="AB223" s="54"/>
      <c r="AC223" s="54"/>
      <c r="AD223" s="54"/>
      <c r="AG223" s="54"/>
      <c r="AH223" s="54"/>
      <c r="AI223" s="54"/>
    </row>
    <row r="224" spans="18:35" x14ac:dyDescent="0.2">
      <c r="R224" s="54"/>
      <c r="S224" s="54"/>
      <c r="T224" s="54"/>
      <c r="W224" s="54"/>
      <c r="X224" s="54"/>
      <c r="Y224" s="54"/>
      <c r="AB224" s="54"/>
      <c r="AC224" s="54"/>
      <c r="AD224" s="54"/>
      <c r="AG224" s="54"/>
      <c r="AH224" s="54"/>
      <c r="AI224" s="54"/>
    </row>
    <row r="225" spans="18:35" x14ac:dyDescent="0.2">
      <c r="R225" s="54"/>
      <c r="S225" s="54"/>
      <c r="T225" s="54"/>
      <c r="W225" s="54"/>
      <c r="X225" s="54"/>
      <c r="Y225" s="54"/>
      <c r="AB225" s="54"/>
      <c r="AC225" s="54"/>
      <c r="AD225" s="54"/>
      <c r="AG225" s="54"/>
      <c r="AH225" s="54"/>
      <c r="AI225" s="54"/>
    </row>
    <row r="226" spans="18:35" x14ac:dyDescent="0.2">
      <c r="R226" s="54"/>
      <c r="S226" s="54"/>
      <c r="T226" s="54"/>
      <c r="W226" s="54"/>
      <c r="X226" s="54"/>
      <c r="Y226" s="54"/>
      <c r="AB226" s="54"/>
      <c r="AC226" s="54"/>
      <c r="AD226" s="54"/>
      <c r="AG226" s="54"/>
      <c r="AH226" s="54"/>
      <c r="AI226" s="54"/>
    </row>
    <row r="227" spans="18:35" x14ac:dyDescent="0.2">
      <c r="R227" s="54"/>
      <c r="S227" s="54"/>
      <c r="T227" s="54"/>
      <c r="W227" s="54"/>
      <c r="X227" s="54"/>
      <c r="Y227" s="54"/>
      <c r="AB227" s="54"/>
      <c r="AC227" s="54"/>
      <c r="AD227" s="54"/>
      <c r="AG227" s="54"/>
      <c r="AH227" s="54"/>
      <c r="AI227" s="54"/>
    </row>
    <row r="228" spans="18:35" x14ac:dyDescent="0.2">
      <c r="R228" s="54"/>
      <c r="S228" s="54"/>
      <c r="T228" s="54"/>
      <c r="W228" s="54"/>
      <c r="X228" s="54"/>
      <c r="Y228" s="54"/>
      <c r="AB228" s="54"/>
      <c r="AC228" s="54"/>
      <c r="AD228" s="54"/>
      <c r="AG228" s="54"/>
      <c r="AH228" s="54"/>
      <c r="AI228" s="54"/>
    </row>
    <row r="229" spans="18:35" x14ac:dyDescent="0.2">
      <c r="R229" s="54"/>
      <c r="S229" s="54"/>
      <c r="T229" s="54"/>
      <c r="W229" s="54"/>
      <c r="X229" s="54"/>
      <c r="Y229" s="54"/>
      <c r="AB229" s="54"/>
      <c r="AC229" s="54"/>
      <c r="AD229" s="54"/>
      <c r="AG229" s="54"/>
      <c r="AH229" s="54"/>
      <c r="AI229" s="54"/>
    </row>
    <row r="230" spans="18:35" x14ac:dyDescent="0.2">
      <c r="R230" s="54"/>
      <c r="S230" s="54"/>
      <c r="T230" s="54"/>
      <c r="W230" s="54"/>
      <c r="X230" s="54"/>
      <c r="Y230" s="54"/>
      <c r="AB230" s="54"/>
      <c r="AC230" s="54"/>
      <c r="AD230" s="54"/>
      <c r="AG230" s="54"/>
      <c r="AH230" s="54"/>
      <c r="AI230" s="54"/>
    </row>
    <row r="231" spans="18:35" x14ac:dyDescent="0.2">
      <c r="R231" s="54"/>
      <c r="S231" s="54"/>
      <c r="T231" s="54"/>
      <c r="W231" s="54"/>
      <c r="X231" s="54"/>
      <c r="Y231" s="54"/>
      <c r="AB231" s="54"/>
      <c r="AC231" s="54"/>
      <c r="AD231" s="54"/>
      <c r="AG231" s="54"/>
      <c r="AH231" s="54"/>
      <c r="AI231" s="54"/>
    </row>
    <row r="232" spans="18:35" x14ac:dyDescent="0.2">
      <c r="R232" s="54"/>
      <c r="S232" s="54"/>
      <c r="T232" s="54"/>
      <c r="W232" s="54"/>
      <c r="X232" s="54"/>
      <c r="Y232" s="54"/>
      <c r="AB232" s="54"/>
      <c r="AC232" s="54"/>
      <c r="AD232" s="54"/>
      <c r="AG232" s="54"/>
      <c r="AH232" s="54"/>
      <c r="AI232" s="54"/>
    </row>
    <row r="233" spans="18:35" x14ac:dyDescent="0.2">
      <c r="R233" s="54"/>
      <c r="S233" s="54"/>
      <c r="T233" s="54"/>
      <c r="W233" s="54"/>
      <c r="X233" s="54"/>
      <c r="Y233" s="54"/>
      <c r="AB233" s="54"/>
      <c r="AC233" s="54"/>
      <c r="AD233" s="54"/>
      <c r="AG233" s="54"/>
      <c r="AH233" s="54"/>
      <c r="AI233" s="54"/>
    </row>
    <row r="234" spans="18:35" x14ac:dyDescent="0.2">
      <c r="R234" s="54"/>
      <c r="S234" s="54"/>
      <c r="T234" s="54"/>
      <c r="W234" s="54"/>
      <c r="X234" s="54"/>
      <c r="Y234" s="54"/>
      <c r="AB234" s="54"/>
      <c r="AC234" s="54"/>
      <c r="AD234" s="54"/>
      <c r="AG234" s="54"/>
      <c r="AH234" s="54"/>
      <c r="AI234" s="54"/>
    </row>
    <row r="235" spans="18:35" x14ac:dyDescent="0.2">
      <c r="R235" s="54"/>
      <c r="S235" s="54"/>
      <c r="T235" s="54"/>
      <c r="W235" s="54"/>
      <c r="X235" s="54"/>
      <c r="Y235" s="54"/>
      <c r="AB235" s="54"/>
      <c r="AC235" s="54"/>
      <c r="AD235" s="54"/>
      <c r="AG235" s="54"/>
      <c r="AH235" s="54"/>
      <c r="AI235" s="54"/>
    </row>
    <row r="236" spans="18:35" x14ac:dyDescent="0.2">
      <c r="R236" s="54"/>
      <c r="S236" s="54"/>
      <c r="T236" s="54"/>
      <c r="W236" s="54"/>
      <c r="X236" s="54"/>
      <c r="Y236" s="54"/>
      <c r="AB236" s="54"/>
      <c r="AC236" s="54"/>
      <c r="AD236" s="54"/>
      <c r="AG236" s="54"/>
      <c r="AH236" s="54"/>
      <c r="AI236" s="54"/>
    </row>
    <row r="237" spans="18:35" x14ac:dyDescent="0.2">
      <c r="R237" s="54"/>
      <c r="S237" s="54"/>
      <c r="T237" s="54"/>
      <c r="W237" s="54"/>
      <c r="X237" s="54"/>
      <c r="Y237" s="54"/>
      <c r="AB237" s="54"/>
      <c r="AC237" s="54"/>
      <c r="AD237" s="54"/>
      <c r="AG237" s="54"/>
      <c r="AH237" s="54"/>
      <c r="AI237" s="54"/>
    </row>
    <row r="238" spans="18:35" x14ac:dyDescent="0.2">
      <c r="R238" s="54"/>
      <c r="S238" s="54"/>
      <c r="T238" s="54"/>
      <c r="W238" s="54"/>
      <c r="X238" s="54"/>
      <c r="Y238" s="54"/>
      <c r="AB238" s="54"/>
      <c r="AC238" s="54"/>
      <c r="AD238" s="54"/>
      <c r="AG238" s="54"/>
      <c r="AH238" s="54"/>
      <c r="AI238" s="54"/>
    </row>
    <row r="239" spans="18:35" x14ac:dyDescent="0.2">
      <c r="R239" s="54"/>
      <c r="S239" s="54"/>
      <c r="T239" s="54"/>
      <c r="W239" s="54"/>
      <c r="X239" s="54"/>
      <c r="Y239" s="54"/>
      <c r="AB239" s="54"/>
      <c r="AC239" s="54"/>
      <c r="AD239" s="54"/>
      <c r="AG239" s="54"/>
      <c r="AH239" s="54"/>
      <c r="AI239" s="54"/>
    </row>
    <row r="240" spans="18:35" x14ac:dyDescent="0.2">
      <c r="R240" s="54"/>
      <c r="S240" s="54"/>
      <c r="T240" s="54"/>
      <c r="W240" s="54"/>
      <c r="X240" s="54"/>
      <c r="Y240" s="54"/>
      <c r="AB240" s="54"/>
      <c r="AC240" s="54"/>
      <c r="AD240" s="54"/>
      <c r="AG240" s="54"/>
      <c r="AH240" s="54"/>
      <c r="AI240" s="54"/>
    </row>
    <row r="241" spans="18:35" x14ac:dyDescent="0.2">
      <c r="R241" s="54"/>
      <c r="S241" s="54"/>
      <c r="T241" s="54"/>
      <c r="W241" s="54"/>
      <c r="X241" s="54"/>
      <c r="Y241" s="54"/>
      <c r="AB241" s="54"/>
      <c r="AC241" s="54"/>
      <c r="AD241" s="54"/>
      <c r="AG241" s="54"/>
      <c r="AH241" s="54"/>
      <c r="AI241" s="54"/>
    </row>
    <row r="242" spans="18:35" x14ac:dyDescent="0.2">
      <c r="R242" s="54"/>
      <c r="S242" s="54"/>
      <c r="T242" s="54"/>
      <c r="W242" s="54"/>
      <c r="X242" s="54"/>
      <c r="Y242" s="54"/>
      <c r="AB242" s="54"/>
      <c r="AC242" s="54"/>
      <c r="AD242" s="54"/>
      <c r="AG242" s="54"/>
      <c r="AH242" s="54"/>
      <c r="AI242" s="54"/>
    </row>
    <row r="243" spans="18:35" x14ac:dyDescent="0.2">
      <c r="R243" s="54"/>
      <c r="S243" s="54"/>
      <c r="T243" s="54"/>
      <c r="W243" s="54"/>
      <c r="X243" s="54"/>
      <c r="Y243" s="54"/>
      <c r="AB243" s="54"/>
      <c r="AC243" s="54"/>
      <c r="AD243" s="54"/>
      <c r="AG243" s="54"/>
      <c r="AH243" s="54"/>
      <c r="AI243" s="54"/>
    </row>
    <row r="244" spans="18:35" x14ac:dyDescent="0.2">
      <c r="R244" s="54"/>
      <c r="S244" s="54"/>
      <c r="T244" s="54"/>
      <c r="W244" s="54"/>
      <c r="X244" s="54"/>
      <c r="Y244" s="54"/>
      <c r="AB244" s="54"/>
      <c r="AC244" s="54"/>
      <c r="AD244" s="54"/>
      <c r="AG244" s="54"/>
      <c r="AH244" s="54"/>
      <c r="AI244" s="54"/>
    </row>
    <row r="245" spans="18:35" x14ac:dyDescent="0.2">
      <c r="R245" s="54"/>
      <c r="S245" s="54"/>
      <c r="T245" s="54"/>
      <c r="W245" s="54"/>
      <c r="X245" s="54"/>
      <c r="Y245" s="54"/>
      <c r="AB245" s="54"/>
      <c r="AC245" s="54"/>
      <c r="AD245" s="54"/>
      <c r="AG245" s="54"/>
      <c r="AH245" s="54"/>
      <c r="AI245" s="54"/>
    </row>
    <row r="246" spans="18:35" x14ac:dyDescent="0.2">
      <c r="R246" s="54"/>
      <c r="S246" s="54"/>
      <c r="T246" s="54"/>
      <c r="W246" s="54"/>
      <c r="X246" s="54"/>
      <c r="Y246" s="54"/>
      <c r="AB246" s="54"/>
      <c r="AC246" s="54"/>
      <c r="AD246" s="54"/>
      <c r="AG246" s="54"/>
      <c r="AH246" s="54"/>
      <c r="AI246" s="54"/>
    </row>
    <row r="247" spans="18:35" x14ac:dyDescent="0.2">
      <c r="R247" s="54"/>
      <c r="S247" s="54"/>
      <c r="T247" s="54"/>
      <c r="W247" s="54"/>
      <c r="X247" s="54"/>
      <c r="Y247" s="54"/>
      <c r="AB247" s="54"/>
      <c r="AC247" s="54"/>
      <c r="AD247" s="54"/>
      <c r="AG247" s="54"/>
      <c r="AH247" s="54"/>
      <c r="AI247" s="54"/>
    </row>
    <row r="248" spans="18:35" x14ac:dyDescent="0.2">
      <c r="R248" s="54"/>
      <c r="S248" s="54"/>
      <c r="T248" s="54"/>
      <c r="W248" s="54"/>
      <c r="X248" s="54"/>
      <c r="Y248" s="54"/>
      <c r="AB248" s="54"/>
      <c r="AC248" s="54"/>
      <c r="AD248" s="54"/>
      <c r="AG248" s="54"/>
      <c r="AH248" s="54"/>
      <c r="AI248" s="54"/>
    </row>
    <row r="249" spans="18:35" x14ac:dyDescent="0.2">
      <c r="R249" s="54"/>
      <c r="S249" s="54"/>
      <c r="T249" s="54"/>
      <c r="W249" s="54"/>
      <c r="X249" s="54"/>
      <c r="Y249" s="54"/>
      <c r="AB249" s="54"/>
      <c r="AC249" s="54"/>
      <c r="AD249" s="54"/>
      <c r="AG249" s="54"/>
      <c r="AH249" s="54"/>
      <c r="AI249" s="54"/>
    </row>
    <row r="250" spans="18:35" x14ac:dyDescent="0.2">
      <c r="R250" s="54"/>
      <c r="S250" s="54"/>
      <c r="T250" s="54"/>
      <c r="W250" s="54"/>
      <c r="X250" s="54"/>
      <c r="Y250" s="54"/>
      <c r="AB250" s="54"/>
      <c r="AC250" s="54"/>
      <c r="AD250" s="54"/>
      <c r="AG250" s="54"/>
      <c r="AH250" s="54"/>
      <c r="AI250" s="54"/>
    </row>
    <row r="251" spans="18:35" x14ac:dyDescent="0.2">
      <c r="R251" s="54"/>
      <c r="S251" s="54"/>
      <c r="T251" s="54"/>
      <c r="W251" s="54"/>
      <c r="X251" s="54"/>
      <c r="Y251" s="54"/>
      <c r="AB251" s="54"/>
      <c r="AC251" s="54"/>
      <c r="AD251" s="54"/>
      <c r="AG251" s="54"/>
      <c r="AH251" s="54"/>
      <c r="AI251" s="54"/>
    </row>
    <row r="252" spans="18:35" x14ac:dyDescent="0.2">
      <c r="R252" s="54"/>
      <c r="S252" s="54"/>
      <c r="T252" s="54"/>
      <c r="W252" s="54"/>
      <c r="X252" s="54"/>
      <c r="Y252" s="54"/>
      <c r="AB252" s="54"/>
      <c r="AC252" s="54"/>
      <c r="AD252" s="54"/>
      <c r="AG252" s="54"/>
      <c r="AH252" s="54"/>
      <c r="AI252" s="54"/>
    </row>
    <row r="253" spans="18:35" x14ac:dyDescent="0.2">
      <c r="R253" s="54"/>
      <c r="S253" s="54"/>
      <c r="T253" s="54"/>
      <c r="W253" s="54"/>
      <c r="X253" s="54"/>
      <c r="Y253" s="54"/>
      <c r="AB253" s="54"/>
      <c r="AC253" s="54"/>
      <c r="AD253" s="54"/>
      <c r="AG253" s="54"/>
      <c r="AH253" s="54"/>
      <c r="AI253" s="54"/>
    </row>
    <row r="254" spans="18:35" x14ac:dyDescent="0.2">
      <c r="R254" s="54"/>
      <c r="S254" s="54"/>
      <c r="T254" s="54"/>
      <c r="W254" s="54"/>
      <c r="X254" s="54"/>
      <c r="Y254" s="54"/>
      <c r="AB254" s="54"/>
      <c r="AC254" s="54"/>
      <c r="AD254" s="54"/>
      <c r="AG254" s="54"/>
      <c r="AH254" s="54"/>
      <c r="AI254" s="54"/>
    </row>
    <row r="255" spans="18:35" x14ac:dyDescent="0.2">
      <c r="R255" s="54"/>
      <c r="S255" s="54"/>
      <c r="T255" s="54"/>
      <c r="W255" s="54"/>
      <c r="X255" s="54"/>
      <c r="Y255" s="54"/>
      <c r="AB255" s="54"/>
      <c r="AC255" s="54"/>
      <c r="AD255" s="54"/>
      <c r="AG255" s="54"/>
      <c r="AH255" s="54"/>
      <c r="AI255" s="54"/>
    </row>
    <row r="256" spans="18:35" x14ac:dyDescent="0.2">
      <c r="R256" s="54"/>
      <c r="S256" s="54"/>
      <c r="T256" s="54"/>
      <c r="W256" s="54"/>
      <c r="X256" s="54"/>
      <c r="Y256" s="54"/>
      <c r="AB256" s="54"/>
      <c r="AC256" s="54"/>
      <c r="AD256" s="54"/>
      <c r="AG256" s="54"/>
      <c r="AH256" s="54"/>
      <c r="AI256" s="54"/>
    </row>
    <row r="257" spans="18:35" x14ac:dyDescent="0.2">
      <c r="R257" s="54"/>
      <c r="S257" s="54"/>
      <c r="T257" s="54"/>
      <c r="W257" s="54"/>
      <c r="X257" s="54"/>
      <c r="Y257" s="54"/>
      <c r="AB257" s="54"/>
      <c r="AC257" s="54"/>
      <c r="AD257" s="54"/>
      <c r="AG257" s="54"/>
      <c r="AH257" s="54"/>
      <c r="AI257" s="54"/>
    </row>
    <row r="258" spans="18:35" x14ac:dyDescent="0.2">
      <c r="R258" s="54"/>
      <c r="S258" s="54"/>
      <c r="T258" s="54"/>
      <c r="W258" s="54"/>
      <c r="X258" s="54"/>
      <c r="Y258" s="54"/>
      <c r="AB258" s="54"/>
      <c r="AC258" s="54"/>
      <c r="AD258" s="54"/>
      <c r="AG258" s="54"/>
      <c r="AH258" s="54"/>
      <c r="AI258" s="54"/>
    </row>
    <row r="259" spans="18:35" x14ac:dyDescent="0.2">
      <c r="R259" s="54"/>
      <c r="S259" s="54"/>
      <c r="T259" s="54"/>
      <c r="W259" s="54"/>
      <c r="X259" s="54"/>
      <c r="Y259" s="54"/>
      <c r="AB259" s="54"/>
      <c r="AC259" s="54"/>
      <c r="AD259" s="54"/>
      <c r="AG259" s="54"/>
      <c r="AH259" s="54"/>
      <c r="AI259" s="54"/>
    </row>
    <row r="260" spans="18:35" x14ac:dyDescent="0.2">
      <c r="R260" s="54"/>
      <c r="S260" s="54"/>
      <c r="T260" s="54"/>
      <c r="W260" s="54"/>
      <c r="X260" s="54"/>
      <c r="Y260" s="54"/>
      <c r="AB260" s="54"/>
      <c r="AC260" s="54"/>
      <c r="AD260" s="54"/>
      <c r="AG260" s="54"/>
      <c r="AH260" s="54"/>
      <c r="AI260" s="54"/>
    </row>
    <row r="261" spans="18:35" x14ac:dyDescent="0.2">
      <c r="R261" s="54"/>
      <c r="S261" s="54"/>
      <c r="T261" s="54"/>
      <c r="W261" s="54"/>
      <c r="X261" s="54"/>
      <c r="Y261" s="54"/>
      <c r="AB261" s="54"/>
      <c r="AC261" s="54"/>
      <c r="AD261" s="54"/>
      <c r="AG261" s="54"/>
      <c r="AH261" s="54"/>
      <c r="AI261" s="54"/>
    </row>
    <row r="262" spans="18:35" x14ac:dyDescent="0.2">
      <c r="R262" s="54"/>
      <c r="S262" s="54"/>
      <c r="T262" s="54"/>
      <c r="W262" s="54"/>
      <c r="X262" s="54"/>
      <c r="Y262" s="54"/>
      <c r="AB262" s="54"/>
      <c r="AC262" s="54"/>
      <c r="AD262" s="54"/>
      <c r="AG262" s="54"/>
      <c r="AH262" s="54"/>
      <c r="AI262" s="54"/>
    </row>
    <row r="263" spans="18:35" x14ac:dyDescent="0.2">
      <c r="R263" s="54"/>
      <c r="S263" s="54"/>
      <c r="T263" s="54"/>
      <c r="W263" s="54"/>
      <c r="X263" s="54"/>
      <c r="Y263" s="54"/>
      <c r="AB263" s="54"/>
      <c r="AC263" s="54"/>
      <c r="AD263" s="54"/>
      <c r="AG263" s="54"/>
      <c r="AH263" s="54"/>
      <c r="AI263" s="54"/>
    </row>
    <row r="264" spans="18:35" x14ac:dyDescent="0.2">
      <c r="R264" s="54"/>
      <c r="S264" s="54"/>
      <c r="T264" s="54"/>
      <c r="W264" s="54"/>
      <c r="X264" s="54"/>
      <c r="Y264" s="54"/>
      <c r="AB264" s="54"/>
      <c r="AC264" s="54"/>
      <c r="AD264" s="54"/>
      <c r="AG264" s="54"/>
      <c r="AH264" s="54"/>
      <c r="AI264" s="54"/>
    </row>
    <row r="265" spans="18:35" x14ac:dyDescent="0.2">
      <c r="R265" s="54"/>
      <c r="S265" s="54"/>
      <c r="T265" s="54"/>
      <c r="W265" s="54"/>
      <c r="X265" s="54"/>
      <c r="Y265" s="54"/>
      <c r="AB265" s="54"/>
      <c r="AC265" s="54"/>
      <c r="AD265" s="54"/>
      <c r="AG265" s="54"/>
      <c r="AH265" s="54"/>
      <c r="AI265" s="54"/>
    </row>
    <row r="266" spans="18:35" x14ac:dyDescent="0.2">
      <c r="R266" s="54"/>
      <c r="S266" s="54"/>
      <c r="T266" s="54"/>
      <c r="W266" s="54"/>
      <c r="X266" s="54"/>
      <c r="Y266" s="54"/>
      <c r="AB266" s="54"/>
      <c r="AC266" s="54"/>
      <c r="AD266" s="54"/>
      <c r="AG266" s="54"/>
      <c r="AH266" s="54"/>
      <c r="AI266" s="54"/>
    </row>
    <row r="267" spans="18:35" x14ac:dyDescent="0.2">
      <c r="R267" s="54"/>
      <c r="S267" s="54"/>
      <c r="T267" s="54"/>
      <c r="W267" s="54"/>
      <c r="X267" s="54"/>
      <c r="Y267" s="54"/>
      <c r="AB267" s="54"/>
      <c r="AC267" s="54"/>
      <c r="AD267" s="54"/>
      <c r="AG267" s="54"/>
      <c r="AH267" s="54"/>
      <c r="AI267" s="54"/>
    </row>
    <row r="268" spans="18:35" x14ac:dyDescent="0.2">
      <c r="R268" s="54"/>
      <c r="S268" s="54"/>
      <c r="T268" s="54"/>
      <c r="W268" s="54"/>
      <c r="X268" s="54"/>
      <c r="Y268" s="54"/>
      <c r="AB268" s="54"/>
      <c r="AC268" s="54"/>
      <c r="AD268" s="54"/>
      <c r="AG268" s="54"/>
      <c r="AH268" s="54"/>
      <c r="AI268" s="54"/>
    </row>
    <row r="269" spans="18:35" x14ac:dyDescent="0.2">
      <c r="R269" s="54"/>
      <c r="S269" s="54"/>
      <c r="T269" s="54"/>
      <c r="W269" s="54"/>
      <c r="X269" s="54"/>
      <c r="Y269" s="54"/>
      <c r="AB269" s="54"/>
      <c r="AC269" s="54"/>
      <c r="AD269" s="54"/>
      <c r="AG269" s="54"/>
      <c r="AH269" s="54"/>
      <c r="AI269" s="54"/>
    </row>
    <row r="270" spans="18:35" x14ac:dyDescent="0.2">
      <c r="R270" s="54"/>
      <c r="S270" s="54"/>
      <c r="T270" s="54"/>
      <c r="W270" s="54"/>
      <c r="X270" s="54"/>
      <c r="Y270" s="54"/>
      <c r="AB270" s="54"/>
      <c r="AC270" s="54"/>
      <c r="AD270" s="54"/>
      <c r="AG270" s="54"/>
      <c r="AH270" s="54"/>
      <c r="AI270" s="54"/>
    </row>
    <row r="271" spans="18:35" x14ac:dyDescent="0.2">
      <c r="R271" s="54"/>
      <c r="S271" s="54"/>
      <c r="T271" s="54"/>
      <c r="W271" s="54"/>
      <c r="X271" s="54"/>
      <c r="Y271" s="54"/>
      <c r="AB271" s="54"/>
      <c r="AC271" s="54"/>
      <c r="AD271" s="54"/>
      <c r="AG271" s="54"/>
      <c r="AH271" s="54"/>
      <c r="AI271" s="54"/>
    </row>
    <row r="272" spans="18:35" x14ac:dyDescent="0.2">
      <c r="R272" s="54"/>
      <c r="S272" s="54"/>
      <c r="T272" s="54"/>
      <c r="W272" s="54"/>
      <c r="X272" s="54"/>
      <c r="Y272" s="54"/>
      <c r="AB272" s="54"/>
      <c r="AC272" s="54"/>
      <c r="AD272" s="54"/>
      <c r="AG272" s="54"/>
      <c r="AH272" s="54"/>
      <c r="AI272" s="54"/>
    </row>
    <row r="273" spans="18:35" x14ac:dyDescent="0.2">
      <c r="R273" s="54"/>
      <c r="S273" s="54"/>
      <c r="T273" s="54"/>
      <c r="W273" s="54"/>
      <c r="X273" s="54"/>
      <c r="Y273" s="54"/>
      <c r="AB273" s="54"/>
      <c r="AC273" s="54"/>
      <c r="AD273" s="54"/>
      <c r="AG273" s="54"/>
      <c r="AH273" s="54"/>
      <c r="AI273" s="54"/>
    </row>
    <row r="274" spans="18:35" x14ac:dyDescent="0.2">
      <c r="R274" s="54"/>
      <c r="S274" s="54"/>
      <c r="T274" s="54"/>
      <c r="W274" s="54"/>
      <c r="X274" s="54"/>
      <c r="Y274" s="54"/>
      <c r="AB274" s="54"/>
      <c r="AC274" s="54"/>
      <c r="AD274" s="54"/>
      <c r="AG274" s="54"/>
      <c r="AH274" s="54"/>
      <c r="AI274" s="54"/>
    </row>
    <row r="275" spans="18:35" x14ac:dyDescent="0.2">
      <c r="R275" s="54"/>
      <c r="S275" s="54"/>
      <c r="T275" s="54"/>
      <c r="W275" s="54"/>
      <c r="X275" s="54"/>
      <c r="Y275" s="54"/>
      <c r="AB275" s="54"/>
      <c r="AC275" s="54"/>
      <c r="AD275" s="54"/>
      <c r="AG275" s="54"/>
      <c r="AH275" s="54"/>
      <c r="AI275" s="54"/>
    </row>
    <row r="276" spans="18:35" x14ac:dyDescent="0.2">
      <c r="R276" s="54"/>
      <c r="S276" s="54"/>
      <c r="T276" s="54"/>
      <c r="W276" s="54"/>
      <c r="X276" s="54"/>
      <c r="Y276" s="54"/>
      <c r="AB276" s="54"/>
      <c r="AC276" s="54"/>
      <c r="AD276" s="54"/>
      <c r="AG276" s="54"/>
      <c r="AH276" s="54"/>
      <c r="AI276" s="54"/>
    </row>
    <row r="277" spans="18:35" x14ac:dyDescent="0.2">
      <c r="R277" s="54"/>
      <c r="S277" s="54"/>
      <c r="T277" s="54"/>
      <c r="W277" s="54"/>
      <c r="X277" s="54"/>
      <c r="Y277" s="54"/>
      <c r="AB277" s="54"/>
      <c r="AC277" s="54"/>
      <c r="AD277" s="54"/>
      <c r="AG277" s="54"/>
      <c r="AH277" s="54"/>
      <c r="AI277" s="54"/>
    </row>
    <row r="278" spans="18:35" x14ac:dyDescent="0.2">
      <c r="R278" s="54"/>
      <c r="S278" s="54"/>
      <c r="T278" s="54"/>
      <c r="W278" s="54"/>
      <c r="X278" s="54"/>
      <c r="Y278" s="54"/>
      <c r="AB278" s="54"/>
      <c r="AC278" s="54"/>
      <c r="AD278" s="54"/>
      <c r="AG278" s="54"/>
      <c r="AH278" s="54"/>
      <c r="AI278" s="54"/>
    </row>
    <row r="279" spans="18:35" x14ac:dyDescent="0.2">
      <c r="R279" s="54"/>
      <c r="S279" s="54"/>
      <c r="T279" s="54"/>
      <c r="W279" s="54"/>
      <c r="X279" s="54"/>
      <c r="Y279" s="54"/>
      <c r="AB279" s="54"/>
      <c r="AC279" s="54"/>
      <c r="AD279" s="54"/>
      <c r="AG279" s="54"/>
      <c r="AH279" s="54"/>
      <c r="AI279" s="54"/>
    </row>
    <row r="280" spans="18:35" x14ac:dyDescent="0.2">
      <c r="R280" s="54"/>
      <c r="S280" s="54"/>
      <c r="T280" s="54"/>
      <c r="W280" s="54"/>
      <c r="X280" s="54"/>
      <c r="Y280" s="54"/>
      <c r="AB280" s="54"/>
      <c r="AC280" s="54"/>
      <c r="AD280" s="54"/>
      <c r="AG280" s="54"/>
      <c r="AH280" s="54"/>
      <c r="AI280" s="54"/>
    </row>
    <row r="281" spans="18:35" x14ac:dyDescent="0.2">
      <c r="R281" s="54"/>
      <c r="S281" s="54"/>
      <c r="T281" s="54"/>
      <c r="W281" s="54"/>
      <c r="X281" s="54"/>
      <c r="Y281" s="54"/>
      <c r="AB281" s="54"/>
      <c r="AC281" s="54"/>
      <c r="AD281" s="54"/>
      <c r="AG281" s="54"/>
      <c r="AH281" s="54"/>
      <c r="AI281" s="54"/>
    </row>
    <row r="282" spans="18:35" x14ac:dyDescent="0.2">
      <c r="R282" s="54"/>
      <c r="S282" s="54"/>
      <c r="T282" s="54"/>
      <c r="W282" s="54"/>
      <c r="X282" s="54"/>
      <c r="Y282" s="54"/>
      <c r="AB282" s="54"/>
      <c r="AC282" s="54"/>
      <c r="AD282" s="54"/>
      <c r="AG282" s="54"/>
      <c r="AH282" s="54"/>
      <c r="AI282" s="54"/>
    </row>
    <row r="283" spans="18:35" x14ac:dyDescent="0.2">
      <c r="R283" s="54"/>
      <c r="S283" s="54"/>
      <c r="T283" s="54"/>
      <c r="W283" s="54"/>
      <c r="X283" s="54"/>
      <c r="Y283" s="54"/>
      <c r="AB283" s="54"/>
      <c r="AC283" s="54"/>
      <c r="AD283" s="54"/>
      <c r="AG283" s="54"/>
      <c r="AH283" s="54"/>
      <c r="AI283" s="54"/>
    </row>
    <row r="284" spans="18:35" x14ac:dyDescent="0.2">
      <c r="R284" s="54"/>
      <c r="S284" s="54"/>
      <c r="T284" s="54"/>
      <c r="W284" s="54"/>
      <c r="X284" s="54"/>
      <c r="Y284" s="54"/>
      <c r="AB284" s="54"/>
      <c r="AC284" s="54"/>
      <c r="AD284" s="54"/>
      <c r="AG284" s="54"/>
      <c r="AH284" s="54"/>
      <c r="AI284" s="54"/>
    </row>
    <row r="285" spans="18:35" x14ac:dyDescent="0.2">
      <c r="R285" s="54"/>
      <c r="S285" s="54"/>
      <c r="T285" s="54"/>
      <c r="W285" s="54"/>
      <c r="X285" s="54"/>
      <c r="Y285" s="54"/>
      <c r="AB285" s="54"/>
      <c r="AC285" s="54"/>
      <c r="AD285" s="54"/>
      <c r="AG285" s="54"/>
      <c r="AH285" s="54"/>
      <c r="AI285" s="54"/>
    </row>
    <row r="286" spans="18:35" x14ac:dyDescent="0.2">
      <c r="R286" s="54"/>
      <c r="S286" s="54"/>
      <c r="T286" s="54"/>
      <c r="W286" s="54"/>
      <c r="X286" s="54"/>
      <c r="Y286" s="54"/>
      <c r="AB286" s="54"/>
      <c r="AC286" s="54"/>
      <c r="AD286" s="54"/>
      <c r="AG286" s="54"/>
      <c r="AH286" s="54"/>
      <c r="AI286" s="54"/>
    </row>
    <row r="287" spans="18:35" x14ac:dyDescent="0.2">
      <c r="R287" s="54"/>
      <c r="S287" s="54"/>
      <c r="T287" s="54"/>
      <c r="W287" s="54"/>
      <c r="X287" s="54"/>
      <c r="Y287" s="54"/>
      <c r="AB287" s="54"/>
      <c r="AC287" s="54"/>
      <c r="AD287" s="54"/>
      <c r="AG287" s="54"/>
      <c r="AH287" s="54"/>
      <c r="AI287" s="54"/>
    </row>
    <row r="288" spans="18:35" x14ac:dyDescent="0.2">
      <c r="R288" s="54"/>
      <c r="S288" s="54"/>
      <c r="T288" s="54"/>
      <c r="W288" s="54"/>
      <c r="X288" s="54"/>
      <c r="Y288" s="54"/>
      <c r="AB288" s="54"/>
      <c r="AC288" s="54"/>
      <c r="AD288" s="54"/>
      <c r="AG288" s="54"/>
      <c r="AH288" s="54"/>
      <c r="AI288" s="54"/>
    </row>
    <row r="289" spans="18:35" x14ac:dyDescent="0.2">
      <c r="R289" s="54"/>
      <c r="S289" s="54"/>
      <c r="T289" s="54"/>
      <c r="W289" s="54"/>
      <c r="X289" s="54"/>
      <c r="Y289" s="54"/>
      <c r="AB289" s="54"/>
      <c r="AC289" s="54"/>
      <c r="AD289" s="54"/>
      <c r="AG289" s="54"/>
      <c r="AH289" s="54"/>
      <c r="AI289" s="54"/>
    </row>
    <row r="290" spans="18:35" x14ac:dyDescent="0.2">
      <c r="R290" s="54"/>
      <c r="S290" s="54"/>
      <c r="T290" s="54"/>
      <c r="W290" s="54"/>
      <c r="X290" s="54"/>
      <c r="Y290" s="54"/>
      <c r="AB290" s="54"/>
      <c r="AC290" s="54"/>
      <c r="AD290" s="54"/>
      <c r="AG290" s="54"/>
      <c r="AH290" s="54"/>
      <c r="AI290" s="54"/>
    </row>
    <row r="291" spans="18:35" x14ac:dyDescent="0.2">
      <c r="R291" s="54"/>
      <c r="S291" s="54"/>
      <c r="T291" s="54"/>
      <c r="W291" s="54"/>
      <c r="X291" s="54"/>
      <c r="Y291" s="54"/>
      <c r="AB291" s="54"/>
      <c r="AC291" s="54"/>
      <c r="AD291" s="54"/>
      <c r="AG291" s="54"/>
      <c r="AH291" s="54"/>
      <c r="AI291" s="54"/>
    </row>
    <row r="292" spans="18:35" x14ac:dyDescent="0.2">
      <c r="R292" s="54"/>
      <c r="S292" s="54"/>
      <c r="T292" s="54"/>
      <c r="W292" s="54"/>
      <c r="X292" s="54"/>
      <c r="Y292" s="54"/>
      <c r="AB292" s="54"/>
      <c r="AC292" s="54"/>
      <c r="AD292" s="54"/>
      <c r="AG292" s="54"/>
      <c r="AH292" s="54"/>
      <c r="AI292" s="54"/>
    </row>
    <row r="293" spans="18:35" x14ac:dyDescent="0.2">
      <c r="R293" s="54"/>
      <c r="S293" s="54"/>
      <c r="T293" s="54"/>
      <c r="W293" s="54"/>
      <c r="X293" s="54"/>
      <c r="Y293" s="54"/>
      <c r="AB293" s="54"/>
      <c r="AC293" s="54"/>
      <c r="AD293" s="54"/>
      <c r="AG293" s="54"/>
      <c r="AH293" s="54"/>
      <c r="AI293" s="54"/>
    </row>
    <row r="294" spans="18:35" x14ac:dyDescent="0.2">
      <c r="R294" s="54"/>
      <c r="S294" s="54"/>
      <c r="T294" s="54"/>
      <c r="W294" s="54"/>
      <c r="X294" s="54"/>
      <c r="Y294" s="54"/>
      <c r="AB294" s="54"/>
      <c r="AC294" s="54"/>
      <c r="AD294" s="54"/>
      <c r="AG294" s="54"/>
      <c r="AH294" s="54"/>
      <c r="AI294" s="54"/>
    </row>
    <row r="295" spans="18:35" x14ac:dyDescent="0.2">
      <c r="R295" s="54"/>
      <c r="S295" s="54"/>
      <c r="T295" s="54"/>
      <c r="W295" s="54"/>
      <c r="X295" s="54"/>
      <c r="Y295" s="54"/>
      <c r="AB295" s="54"/>
      <c r="AC295" s="54"/>
      <c r="AD295" s="54"/>
      <c r="AG295" s="54"/>
      <c r="AH295" s="54"/>
      <c r="AI295" s="54"/>
    </row>
    <row r="296" spans="18:35" x14ac:dyDescent="0.2">
      <c r="R296" s="54"/>
      <c r="S296" s="54"/>
      <c r="T296" s="54"/>
      <c r="W296" s="54"/>
      <c r="X296" s="54"/>
      <c r="Y296" s="54"/>
      <c r="AB296" s="54"/>
      <c r="AC296" s="54"/>
      <c r="AD296" s="54"/>
      <c r="AG296" s="54"/>
      <c r="AH296" s="54"/>
      <c r="AI296" s="54"/>
    </row>
    <row r="297" spans="18:35" x14ac:dyDescent="0.2">
      <c r="R297" s="54"/>
      <c r="S297" s="54"/>
      <c r="T297" s="54"/>
      <c r="W297" s="54"/>
      <c r="X297" s="54"/>
      <c r="Y297" s="54"/>
      <c r="AB297" s="54"/>
      <c r="AC297" s="54"/>
      <c r="AD297" s="54"/>
      <c r="AG297" s="54"/>
      <c r="AH297" s="54"/>
      <c r="AI297" s="54"/>
    </row>
    <row r="298" spans="18:35" x14ac:dyDescent="0.2">
      <c r="R298" s="54"/>
      <c r="S298" s="54"/>
      <c r="T298" s="54"/>
      <c r="W298" s="54"/>
      <c r="X298" s="54"/>
      <c r="Y298" s="54"/>
      <c r="AB298" s="54"/>
      <c r="AC298" s="54"/>
      <c r="AD298" s="54"/>
      <c r="AG298" s="54"/>
      <c r="AH298" s="54"/>
      <c r="AI298" s="54"/>
    </row>
    <row r="299" spans="18:35" x14ac:dyDescent="0.2">
      <c r="R299" s="54"/>
      <c r="S299" s="54"/>
      <c r="T299" s="54"/>
      <c r="W299" s="54"/>
      <c r="X299" s="54"/>
      <c r="Y299" s="54"/>
      <c r="AB299" s="54"/>
      <c r="AC299" s="54"/>
      <c r="AD299" s="54"/>
      <c r="AG299" s="54"/>
      <c r="AH299" s="54"/>
      <c r="AI299" s="54"/>
    </row>
    <row r="300" spans="18:35" x14ac:dyDescent="0.2">
      <c r="R300" s="54"/>
      <c r="S300" s="54"/>
      <c r="T300" s="54"/>
      <c r="W300" s="54"/>
      <c r="X300" s="54"/>
      <c r="Y300" s="54"/>
      <c r="AB300" s="54"/>
      <c r="AC300" s="54"/>
      <c r="AD300" s="54"/>
      <c r="AG300" s="54"/>
      <c r="AH300" s="54"/>
      <c r="AI300" s="54"/>
    </row>
    <row r="301" spans="18:35" x14ac:dyDescent="0.2">
      <c r="R301" s="54"/>
      <c r="S301" s="54"/>
      <c r="T301" s="54"/>
      <c r="W301" s="54"/>
      <c r="X301" s="54"/>
      <c r="Y301" s="54"/>
      <c r="AB301" s="54"/>
      <c r="AC301" s="54"/>
      <c r="AD301" s="54"/>
      <c r="AG301" s="54"/>
      <c r="AH301" s="54"/>
      <c r="AI301" s="54"/>
    </row>
    <row r="302" spans="18:35" x14ac:dyDescent="0.2">
      <c r="R302" s="54"/>
      <c r="S302" s="54"/>
      <c r="T302" s="54"/>
      <c r="W302" s="54"/>
      <c r="X302" s="54"/>
      <c r="Y302" s="54"/>
      <c r="AB302" s="54"/>
      <c r="AC302" s="54"/>
      <c r="AD302" s="54"/>
      <c r="AG302" s="54"/>
      <c r="AH302" s="54"/>
      <c r="AI302" s="54"/>
    </row>
    <row r="303" spans="18:35" x14ac:dyDescent="0.2">
      <c r="R303" s="54"/>
      <c r="S303" s="54"/>
      <c r="T303" s="54"/>
      <c r="W303" s="54"/>
      <c r="X303" s="54"/>
      <c r="Y303" s="54"/>
      <c r="AB303" s="54"/>
      <c r="AC303" s="54"/>
      <c r="AD303" s="54"/>
      <c r="AG303" s="54"/>
      <c r="AH303" s="54"/>
      <c r="AI303" s="54"/>
    </row>
    <row r="304" spans="18:35" x14ac:dyDescent="0.2">
      <c r="R304" s="54"/>
      <c r="S304" s="54"/>
      <c r="T304" s="54"/>
      <c r="W304" s="54"/>
      <c r="X304" s="54"/>
      <c r="Y304" s="54"/>
      <c r="AB304" s="54"/>
      <c r="AC304" s="54"/>
      <c r="AD304" s="54"/>
      <c r="AG304" s="54"/>
      <c r="AH304" s="54"/>
      <c r="AI304" s="54"/>
    </row>
    <row r="305" spans="18:35" x14ac:dyDescent="0.2">
      <c r="R305" s="54"/>
      <c r="S305" s="54"/>
      <c r="T305" s="54"/>
      <c r="W305" s="54"/>
      <c r="X305" s="54"/>
      <c r="Y305" s="54"/>
      <c r="AB305" s="54"/>
      <c r="AC305" s="54"/>
      <c r="AD305" s="54"/>
      <c r="AG305" s="54"/>
      <c r="AH305" s="54"/>
      <c r="AI305" s="54"/>
    </row>
    <row r="306" spans="18:35" x14ac:dyDescent="0.2">
      <c r="R306" s="54"/>
      <c r="S306" s="54"/>
      <c r="T306" s="54"/>
      <c r="W306" s="54"/>
      <c r="X306" s="54"/>
      <c r="Y306" s="54"/>
      <c r="AB306" s="54"/>
      <c r="AC306" s="54"/>
      <c r="AD306" s="54"/>
      <c r="AG306" s="54"/>
      <c r="AH306" s="54"/>
      <c r="AI306" s="54"/>
    </row>
    <row r="307" spans="18:35" x14ac:dyDescent="0.2">
      <c r="R307" s="54"/>
      <c r="S307" s="54"/>
      <c r="T307" s="54"/>
      <c r="W307" s="54"/>
      <c r="X307" s="54"/>
      <c r="Y307" s="54"/>
      <c r="AB307" s="54"/>
      <c r="AC307" s="54"/>
      <c r="AD307" s="54"/>
      <c r="AG307" s="54"/>
      <c r="AH307" s="54"/>
      <c r="AI307" s="54"/>
    </row>
    <row r="308" spans="18:35" x14ac:dyDescent="0.2">
      <c r="R308" s="54"/>
      <c r="S308" s="54"/>
      <c r="T308" s="54"/>
      <c r="W308" s="54"/>
      <c r="X308" s="54"/>
      <c r="Y308" s="54"/>
      <c r="AB308" s="54"/>
      <c r="AC308" s="54"/>
      <c r="AD308" s="54"/>
      <c r="AG308" s="54"/>
      <c r="AH308" s="54"/>
      <c r="AI308" s="54"/>
    </row>
    <row r="309" spans="18:35" x14ac:dyDescent="0.2">
      <c r="R309" s="54"/>
      <c r="S309" s="54"/>
      <c r="T309" s="54"/>
      <c r="W309" s="54"/>
      <c r="X309" s="54"/>
      <c r="Y309" s="54"/>
      <c r="AB309" s="54"/>
      <c r="AC309" s="54"/>
      <c r="AD309" s="54"/>
      <c r="AG309" s="54"/>
      <c r="AH309" s="54"/>
      <c r="AI309" s="54"/>
    </row>
    <row r="310" spans="18:35" x14ac:dyDescent="0.2">
      <c r="R310" s="54"/>
      <c r="S310" s="54"/>
      <c r="T310" s="54"/>
      <c r="W310" s="54"/>
      <c r="X310" s="54"/>
      <c r="Y310" s="54"/>
      <c r="AB310" s="54"/>
      <c r="AC310" s="54"/>
      <c r="AD310" s="54"/>
      <c r="AG310" s="54"/>
      <c r="AH310" s="54"/>
      <c r="AI310" s="54"/>
    </row>
    <row r="311" spans="18:35" x14ac:dyDescent="0.2">
      <c r="R311" s="54"/>
      <c r="S311" s="54"/>
      <c r="T311" s="54"/>
      <c r="W311" s="54"/>
      <c r="X311" s="54"/>
      <c r="Y311" s="54"/>
      <c r="AB311" s="54"/>
      <c r="AC311" s="54"/>
      <c r="AD311" s="54"/>
      <c r="AG311" s="54"/>
      <c r="AH311" s="54"/>
      <c r="AI311" s="54"/>
    </row>
    <row r="312" spans="18:35" x14ac:dyDescent="0.2">
      <c r="R312" s="54"/>
      <c r="S312" s="54"/>
      <c r="T312" s="54"/>
      <c r="W312" s="54"/>
      <c r="X312" s="54"/>
      <c r="Y312" s="54"/>
      <c r="AB312" s="54"/>
      <c r="AC312" s="54"/>
      <c r="AD312" s="54"/>
      <c r="AG312" s="54"/>
      <c r="AH312" s="54"/>
      <c r="AI312" s="54"/>
    </row>
    <row r="313" spans="18:35" x14ac:dyDescent="0.2">
      <c r="R313" s="54"/>
      <c r="S313" s="54"/>
      <c r="T313" s="54"/>
      <c r="W313" s="54"/>
      <c r="X313" s="54"/>
      <c r="Y313" s="54"/>
      <c r="AB313" s="54"/>
      <c r="AC313" s="54"/>
      <c r="AD313" s="54"/>
      <c r="AG313" s="54"/>
      <c r="AH313" s="54"/>
      <c r="AI313" s="54"/>
    </row>
    <row r="314" spans="18:35" x14ac:dyDescent="0.2">
      <c r="R314" s="54"/>
      <c r="S314" s="54"/>
      <c r="T314" s="54"/>
      <c r="W314" s="54"/>
      <c r="X314" s="54"/>
      <c r="Y314" s="54"/>
      <c r="AB314" s="54"/>
      <c r="AC314" s="54"/>
      <c r="AD314" s="54"/>
      <c r="AG314" s="54"/>
      <c r="AH314" s="54"/>
      <c r="AI314" s="54"/>
    </row>
    <row r="315" spans="18:35" x14ac:dyDescent="0.2">
      <c r="R315" s="54"/>
      <c r="S315" s="54"/>
      <c r="T315" s="54"/>
      <c r="W315" s="54"/>
      <c r="X315" s="54"/>
      <c r="Y315" s="54"/>
      <c r="AB315" s="54"/>
      <c r="AC315" s="54"/>
      <c r="AD315" s="54"/>
      <c r="AG315" s="54"/>
      <c r="AH315" s="54"/>
      <c r="AI315" s="54"/>
    </row>
    <row r="316" spans="18:35" x14ac:dyDescent="0.2">
      <c r="R316" s="54"/>
      <c r="S316" s="54"/>
      <c r="T316" s="54"/>
      <c r="W316" s="54"/>
      <c r="X316" s="54"/>
      <c r="Y316" s="54"/>
      <c r="AB316" s="54"/>
      <c r="AC316" s="54"/>
      <c r="AD316" s="54"/>
      <c r="AG316" s="54"/>
      <c r="AH316" s="54"/>
      <c r="AI316" s="54"/>
    </row>
    <row r="317" spans="18:35" x14ac:dyDescent="0.2">
      <c r="R317" s="54"/>
      <c r="S317" s="54"/>
      <c r="T317" s="54"/>
      <c r="W317" s="54"/>
      <c r="X317" s="54"/>
      <c r="Y317" s="54"/>
      <c r="AB317" s="54"/>
      <c r="AC317" s="54"/>
      <c r="AD317" s="54"/>
      <c r="AG317" s="54"/>
      <c r="AH317" s="54"/>
      <c r="AI317" s="54"/>
    </row>
    <row r="318" spans="18:35" x14ac:dyDescent="0.2">
      <c r="R318" s="54"/>
      <c r="S318" s="54"/>
      <c r="T318" s="54"/>
      <c r="W318" s="54"/>
      <c r="X318" s="54"/>
      <c r="Y318" s="54"/>
      <c r="AB318" s="54"/>
      <c r="AC318" s="54"/>
      <c r="AD318" s="54"/>
      <c r="AG318" s="54"/>
      <c r="AH318" s="54"/>
      <c r="AI318" s="54"/>
    </row>
    <row r="319" spans="18:35" x14ac:dyDescent="0.2">
      <c r="R319" s="54"/>
      <c r="S319" s="54"/>
      <c r="T319" s="54"/>
      <c r="W319" s="54"/>
      <c r="X319" s="54"/>
      <c r="Y319" s="54"/>
      <c r="AB319" s="54"/>
      <c r="AC319" s="54"/>
      <c r="AD319" s="54"/>
      <c r="AG319" s="54"/>
      <c r="AH319" s="54"/>
      <c r="AI319" s="54"/>
    </row>
    <row r="320" spans="18:35" x14ac:dyDescent="0.2">
      <c r="R320" s="54"/>
      <c r="S320" s="54"/>
      <c r="T320" s="54"/>
      <c r="W320" s="54"/>
      <c r="X320" s="54"/>
      <c r="Y320" s="54"/>
      <c r="AB320" s="54"/>
      <c r="AC320" s="54"/>
      <c r="AD320" s="54"/>
      <c r="AG320" s="54"/>
      <c r="AH320" s="54"/>
      <c r="AI320" s="54"/>
    </row>
    <row r="321" spans="18:35" x14ac:dyDescent="0.2">
      <c r="R321" s="54"/>
      <c r="S321" s="54"/>
      <c r="T321" s="54"/>
      <c r="W321" s="54"/>
      <c r="X321" s="54"/>
      <c r="Y321" s="54"/>
      <c r="AB321" s="54"/>
      <c r="AC321" s="54"/>
      <c r="AD321" s="54"/>
      <c r="AG321" s="54"/>
      <c r="AH321" s="54"/>
      <c r="AI321" s="54"/>
    </row>
    <row r="322" spans="18:35" x14ac:dyDescent="0.2">
      <c r="R322" s="54"/>
      <c r="S322" s="54"/>
      <c r="T322" s="54"/>
      <c r="W322" s="54"/>
      <c r="X322" s="54"/>
      <c r="Y322" s="54"/>
      <c r="AB322" s="54"/>
      <c r="AC322" s="54"/>
      <c r="AD322" s="54"/>
      <c r="AG322" s="54"/>
      <c r="AH322" s="54"/>
      <c r="AI322" s="54"/>
    </row>
    <row r="323" spans="18:35" x14ac:dyDescent="0.2">
      <c r="R323" s="54"/>
      <c r="S323" s="54"/>
      <c r="T323" s="54"/>
      <c r="W323" s="54"/>
      <c r="X323" s="54"/>
      <c r="Y323" s="54"/>
      <c r="AB323" s="54"/>
      <c r="AC323" s="54"/>
      <c r="AD323" s="54"/>
      <c r="AG323" s="54"/>
      <c r="AH323" s="54"/>
      <c r="AI323" s="54"/>
    </row>
    <row r="324" spans="18:35" x14ac:dyDescent="0.2">
      <c r="R324" s="54"/>
      <c r="S324" s="54"/>
      <c r="T324" s="54"/>
      <c r="W324" s="54"/>
      <c r="X324" s="54"/>
      <c r="Y324" s="54"/>
      <c r="AB324" s="54"/>
      <c r="AC324" s="54"/>
      <c r="AD324" s="54"/>
      <c r="AG324" s="54"/>
      <c r="AH324" s="54"/>
      <c r="AI324" s="54"/>
    </row>
    <row r="325" spans="18:35" x14ac:dyDescent="0.2">
      <c r="R325" s="54"/>
      <c r="S325" s="54"/>
      <c r="T325" s="54"/>
      <c r="W325" s="54"/>
      <c r="X325" s="54"/>
      <c r="Y325" s="54"/>
      <c r="AB325" s="54"/>
      <c r="AC325" s="54"/>
      <c r="AD325" s="54"/>
      <c r="AG325" s="54"/>
      <c r="AH325" s="54"/>
      <c r="AI325" s="54"/>
    </row>
    <row r="326" spans="18:35" x14ac:dyDescent="0.2">
      <c r="R326" s="54"/>
      <c r="S326" s="54"/>
      <c r="T326" s="54"/>
      <c r="W326" s="54"/>
      <c r="X326" s="54"/>
      <c r="Y326" s="54"/>
      <c r="AB326" s="54"/>
      <c r="AC326" s="54"/>
      <c r="AD326" s="54"/>
      <c r="AG326" s="54"/>
      <c r="AH326" s="54"/>
      <c r="AI326" s="54"/>
    </row>
    <row r="327" spans="18:35" x14ac:dyDescent="0.2">
      <c r="R327" s="54"/>
      <c r="S327" s="54"/>
      <c r="T327" s="54"/>
      <c r="W327" s="54"/>
      <c r="X327" s="54"/>
      <c r="Y327" s="54"/>
      <c r="AB327" s="54"/>
      <c r="AC327" s="54"/>
      <c r="AD327" s="54"/>
      <c r="AG327" s="54"/>
      <c r="AH327" s="54"/>
      <c r="AI327" s="54"/>
    </row>
    <row r="328" spans="18:35" x14ac:dyDescent="0.2">
      <c r="R328" s="54"/>
      <c r="S328" s="54"/>
      <c r="T328" s="54"/>
      <c r="W328" s="54"/>
      <c r="X328" s="54"/>
      <c r="Y328" s="54"/>
      <c r="AB328" s="54"/>
      <c r="AC328" s="54"/>
      <c r="AD328" s="54"/>
      <c r="AG328" s="54"/>
      <c r="AH328" s="54"/>
      <c r="AI328" s="54"/>
    </row>
    <row r="329" spans="18:35" x14ac:dyDescent="0.2">
      <c r="R329" s="54"/>
      <c r="S329" s="54"/>
      <c r="T329" s="54"/>
      <c r="W329" s="54"/>
      <c r="X329" s="54"/>
      <c r="Y329" s="54"/>
      <c r="AB329" s="54"/>
      <c r="AC329" s="54"/>
      <c r="AD329" s="54"/>
      <c r="AG329" s="54"/>
      <c r="AH329" s="54"/>
      <c r="AI329" s="54"/>
    </row>
    <row r="330" spans="18:35" x14ac:dyDescent="0.2">
      <c r="R330" s="54"/>
      <c r="S330" s="54"/>
      <c r="T330" s="54"/>
      <c r="W330" s="54"/>
      <c r="X330" s="54"/>
      <c r="Y330" s="54"/>
      <c r="AB330" s="54"/>
      <c r="AC330" s="54"/>
      <c r="AD330" s="54"/>
      <c r="AG330" s="54"/>
      <c r="AH330" s="54"/>
      <c r="AI330" s="54"/>
    </row>
    <row r="331" spans="18:35" x14ac:dyDescent="0.2">
      <c r="R331" s="54"/>
      <c r="S331" s="54"/>
      <c r="T331" s="54"/>
      <c r="W331" s="54"/>
      <c r="X331" s="54"/>
      <c r="Y331" s="54"/>
      <c r="AB331" s="54"/>
      <c r="AC331" s="54"/>
      <c r="AD331" s="54"/>
      <c r="AG331" s="54"/>
      <c r="AH331" s="54"/>
      <c r="AI331" s="54"/>
    </row>
    <row r="332" spans="18:35" x14ac:dyDescent="0.2">
      <c r="R332" s="54"/>
      <c r="S332" s="54"/>
      <c r="T332" s="54"/>
      <c r="W332" s="54"/>
      <c r="X332" s="54"/>
      <c r="Y332" s="54"/>
      <c r="AB332" s="54"/>
      <c r="AC332" s="54"/>
      <c r="AD332" s="54"/>
      <c r="AG332" s="54"/>
      <c r="AH332" s="54"/>
      <c r="AI332" s="54"/>
    </row>
    <row r="333" spans="18:35" x14ac:dyDescent="0.2">
      <c r="R333" s="54"/>
      <c r="S333" s="54"/>
      <c r="T333" s="54"/>
      <c r="W333" s="54"/>
      <c r="X333" s="54"/>
      <c r="Y333" s="54"/>
      <c r="AB333" s="54"/>
      <c r="AC333" s="54"/>
      <c r="AD333" s="54"/>
      <c r="AG333" s="54"/>
      <c r="AH333" s="54"/>
      <c r="AI333" s="54"/>
    </row>
    <row r="334" spans="18:35" x14ac:dyDescent="0.2">
      <c r="R334" s="54"/>
      <c r="S334" s="54"/>
      <c r="T334" s="54"/>
      <c r="W334" s="54"/>
      <c r="X334" s="54"/>
      <c r="Y334" s="54"/>
      <c r="AB334" s="54"/>
      <c r="AC334" s="54"/>
      <c r="AD334" s="54"/>
      <c r="AG334" s="54"/>
      <c r="AH334" s="54"/>
      <c r="AI334" s="54"/>
    </row>
    <row r="335" spans="18:35" x14ac:dyDescent="0.2">
      <c r="R335" s="54"/>
      <c r="S335" s="54"/>
      <c r="T335" s="54"/>
      <c r="W335" s="54"/>
      <c r="X335" s="54"/>
      <c r="Y335" s="54"/>
      <c r="AB335" s="54"/>
      <c r="AC335" s="54"/>
      <c r="AD335" s="54"/>
      <c r="AG335" s="54"/>
      <c r="AH335" s="54"/>
      <c r="AI335" s="54"/>
    </row>
    <row r="336" spans="18:35" x14ac:dyDescent="0.2">
      <c r="R336" s="54"/>
      <c r="S336" s="54"/>
      <c r="T336" s="54"/>
      <c r="W336" s="54"/>
      <c r="X336" s="54"/>
      <c r="Y336" s="54"/>
      <c r="AB336" s="54"/>
      <c r="AC336" s="54"/>
      <c r="AD336" s="54"/>
      <c r="AG336" s="54"/>
      <c r="AH336" s="54"/>
      <c r="AI336" s="54"/>
    </row>
    <row r="337" spans="18:35" x14ac:dyDescent="0.2">
      <c r="R337" s="54"/>
      <c r="S337" s="54"/>
      <c r="T337" s="54"/>
      <c r="W337" s="54"/>
      <c r="X337" s="54"/>
      <c r="Y337" s="54"/>
      <c r="AB337" s="54"/>
      <c r="AC337" s="54"/>
      <c r="AD337" s="54"/>
      <c r="AG337" s="54"/>
      <c r="AH337" s="54"/>
      <c r="AI337" s="54"/>
    </row>
    <row r="338" spans="18:35" x14ac:dyDescent="0.2">
      <c r="R338" s="54"/>
      <c r="S338" s="54"/>
      <c r="T338" s="54"/>
      <c r="W338" s="54"/>
      <c r="X338" s="54"/>
      <c r="Y338" s="54"/>
      <c r="AB338" s="54"/>
      <c r="AC338" s="54"/>
      <c r="AD338" s="54"/>
      <c r="AG338" s="54"/>
      <c r="AH338" s="54"/>
      <c r="AI338" s="54"/>
    </row>
    <row r="339" spans="18:35" x14ac:dyDescent="0.2">
      <c r="R339" s="54"/>
      <c r="S339" s="54"/>
      <c r="T339" s="54"/>
      <c r="W339" s="54"/>
      <c r="X339" s="54"/>
      <c r="Y339" s="54"/>
      <c r="AB339" s="54"/>
      <c r="AC339" s="54"/>
      <c r="AD339" s="54"/>
      <c r="AG339" s="54"/>
      <c r="AH339" s="54"/>
      <c r="AI339" s="54"/>
    </row>
    <row r="340" spans="18:35" x14ac:dyDescent="0.2">
      <c r="R340" s="54"/>
      <c r="S340" s="54"/>
      <c r="T340" s="54"/>
      <c r="W340" s="54"/>
      <c r="X340" s="54"/>
      <c r="Y340" s="54"/>
      <c r="AB340" s="54"/>
      <c r="AC340" s="54"/>
      <c r="AD340" s="54"/>
      <c r="AG340" s="54"/>
      <c r="AH340" s="54"/>
      <c r="AI340" s="54"/>
    </row>
    <row r="341" spans="18:35" x14ac:dyDescent="0.2">
      <c r="R341" s="54"/>
      <c r="S341" s="54"/>
      <c r="T341" s="54"/>
      <c r="W341" s="54"/>
      <c r="X341" s="54"/>
      <c r="Y341" s="54"/>
      <c r="AB341" s="54"/>
      <c r="AC341" s="54"/>
      <c r="AD341" s="54"/>
      <c r="AG341" s="54"/>
      <c r="AH341" s="54"/>
      <c r="AI341" s="54"/>
    </row>
    <row r="342" spans="18:35" x14ac:dyDescent="0.2">
      <c r="R342" s="54"/>
      <c r="S342" s="54"/>
      <c r="T342" s="54"/>
      <c r="W342" s="54"/>
      <c r="X342" s="54"/>
      <c r="Y342" s="54"/>
      <c r="AB342" s="54"/>
      <c r="AC342" s="54"/>
      <c r="AD342" s="54"/>
      <c r="AG342" s="54"/>
      <c r="AH342" s="54"/>
      <c r="AI342" s="54"/>
    </row>
    <row r="343" spans="18:35" x14ac:dyDescent="0.2">
      <c r="R343" s="54"/>
      <c r="S343" s="54"/>
      <c r="T343" s="54"/>
      <c r="W343" s="54"/>
      <c r="X343" s="54"/>
      <c r="Y343" s="54"/>
      <c r="AB343" s="54"/>
      <c r="AC343" s="54"/>
      <c r="AD343" s="54"/>
      <c r="AG343" s="54"/>
      <c r="AH343" s="54"/>
      <c r="AI343" s="54"/>
    </row>
    <row r="344" spans="18:35" x14ac:dyDescent="0.2">
      <c r="R344" s="54"/>
      <c r="S344" s="54"/>
      <c r="T344" s="54"/>
      <c r="W344" s="54"/>
      <c r="X344" s="54"/>
      <c r="Y344" s="54"/>
      <c r="AB344" s="54"/>
      <c r="AC344" s="54"/>
      <c r="AD344" s="54"/>
      <c r="AG344" s="54"/>
      <c r="AH344" s="54"/>
      <c r="AI344" s="54"/>
    </row>
    <row r="345" spans="18:35" x14ac:dyDescent="0.2">
      <c r="R345" s="54"/>
      <c r="S345" s="54"/>
      <c r="T345" s="54"/>
      <c r="W345" s="54"/>
      <c r="X345" s="54"/>
      <c r="Y345" s="54"/>
      <c r="AB345" s="54"/>
      <c r="AC345" s="54"/>
      <c r="AD345" s="54"/>
      <c r="AG345" s="54"/>
      <c r="AH345" s="54"/>
      <c r="AI345" s="54"/>
    </row>
    <row r="346" spans="18:35" x14ac:dyDescent="0.2">
      <c r="R346" s="54"/>
      <c r="S346" s="54"/>
      <c r="T346" s="54"/>
      <c r="W346" s="54"/>
      <c r="X346" s="54"/>
      <c r="Y346" s="54"/>
      <c r="AB346" s="54"/>
      <c r="AC346" s="54"/>
      <c r="AD346" s="54"/>
      <c r="AG346" s="54"/>
      <c r="AH346" s="54"/>
      <c r="AI346" s="54"/>
    </row>
    <row r="347" spans="18:35" x14ac:dyDescent="0.2">
      <c r="R347" s="54"/>
      <c r="S347" s="54"/>
      <c r="T347" s="54"/>
      <c r="W347" s="54"/>
      <c r="X347" s="54"/>
      <c r="Y347" s="54"/>
      <c r="AB347" s="54"/>
      <c r="AC347" s="54"/>
      <c r="AD347" s="54"/>
      <c r="AG347" s="54"/>
      <c r="AH347" s="54"/>
      <c r="AI347" s="54"/>
    </row>
    <row r="348" spans="18:35" x14ac:dyDescent="0.2">
      <c r="R348" s="54"/>
      <c r="S348" s="54"/>
      <c r="T348" s="54"/>
      <c r="W348" s="54"/>
      <c r="X348" s="54"/>
      <c r="Y348" s="54"/>
      <c r="AB348" s="54"/>
      <c r="AC348" s="54"/>
      <c r="AD348" s="54"/>
      <c r="AG348" s="54"/>
      <c r="AH348" s="54"/>
      <c r="AI348" s="54"/>
    </row>
    <row r="349" spans="18:35" x14ac:dyDescent="0.2">
      <c r="R349" s="54"/>
      <c r="S349" s="54"/>
      <c r="T349" s="54"/>
      <c r="W349" s="54"/>
      <c r="X349" s="54"/>
      <c r="Y349" s="54"/>
      <c r="AB349" s="54"/>
      <c r="AC349" s="54"/>
      <c r="AD349" s="54"/>
      <c r="AG349" s="54"/>
      <c r="AH349" s="54"/>
      <c r="AI349" s="54"/>
    </row>
    <row r="350" spans="18:35" x14ac:dyDescent="0.2">
      <c r="R350" s="54"/>
      <c r="S350" s="54"/>
      <c r="T350" s="54"/>
      <c r="W350" s="54"/>
      <c r="X350" s="54"/>
      <c r="Y350" s="54"/>
      <c r="AB350" s="54"/>
      <c r="AC350" s="54"/>
      <c r="AD350" s="54"/>
      <c r="AG350" s="54"/>
      <c r="AH350" s="54"/>
      <c r="AI350" s="54"/>
    </row>
    <row r="351" spans="18:35" x14ac:dyDescent="0.2">
      <c r="R351" s="54"/>
      <c r="S351" s="54"/>
      <c r="T351" s="54"/>
      <c r="W351" s="54"/>
      <c r="X351" s="54"/>
      <c r="Y351" s="54"/>
      <c r="AB351" s="54"/>
      <c r="AC351" s="54"/>
      <c r="AD351" s="54"/>
      <c r="AG351" s="54"/>
      <c r="AH351" s="54"/>
      <c r="AI351" s="54"/>
    </row>
    <row r="352" spans="18:35" x14ac:dyDescent="0.2">
      <c r="R352" s="54"/>
      <c r="S352" s="54"/>
      <c r="T352" s="54"/>
      <c r="W352" s="54"/>
      <c r="X352" s="54"/>
      <c r="Y352" s="54"/>
      <c r="AB352" s="54"/>
      <c r="AC352" s="54"/>
      <c r="AD352" s="54"/>
      <c r="AG352" s="54"/>
      <c r="AH352" s="54"/>
      <c r="AI352" s="54"/>
    </row>
    <row r="353" spans="18:35" x14ac:dyDescent="0.2">
      <c r="R353" s="54"/>
      <c r="S353" s="54"/>
      <c r="T353" s="54"/>
      <c r="W353" s="54"/>
      <c r="X353" s="54"/>
      <c r="Y353" s="54"/>
      <c r="AB353" s="54"/>
      <c r="AC353" s="54"/>
      <c r="AD353" s="54"/>
      <c r="AG353" s="54"/>
      <c r="AH353" s="54"/>
      <c r="AI353" s="54"/>
    </row>
    <row r="354" spans="18:35" x14ac:dyDescent="0.2">
      <c r="R354" s="54"/>
      <c r="S354" s="54"/>
      <c r="T354" s="54"/>
      <c r="W354" s="54"/>
      <c r="X354" s="54"/>
      <c r="Y354" s="54"/>
      <c r="AB354" s="54"/>
      <c r="AC354" s="54"/>
      <c r="AD354" s="54"/>
      <c r="AG354" s="54"/>
      <c r="AH354" s="54"/>
      <c r="AI354" s="54"/>
    </row>
    <row r="355" spans="18:35" x14ac:dyDescent="0.2">
      <c r="R355" s="54"/>
      <c r="S355" s="54"/>
      <c r="T355" s="54"/>
      <c r="W355" s="54"/>
      <c r="X355" s="54"/>
      <c r="Y355" s="54"/>
      <c r="AB355" s="54"/>
      <c r="AC355" s="54"/>
      <c r="AD355" s="54"/>
      <c r="AG355" s="54"/>
      <c r="AH355" s="54"/>
      <c r="AI355" s="54"/>
    </row>
    <row r="356" spans="18:35" x14ac:dyDescent="0.2">
      <c r="R356" s="54"/>
      <c r="S356" s="54"/>
      <c r="T356" s="54"/>
      <c r="W356" s="54"/>
      <c r="X356" s="54"/>
      <c r="Y356" s="54"/>
      <c r="AB356" s="54"/>
      <c r="AC356" s="54"/>
      <c r="AD356" s="54"/>
      <c r="AG356" s="54"/>
      <c r="AH356" s="54"/>
      <c r="AI356" s="54"/>
    </row>
    <row r="357" spans="18:35" x14ac:dyDescent="0.2">
      <c r="R357" s="54"/>
      <c r="S357" s="54"/>
      <c r="T357" s="54"/>
      <c r="W357" s="54"/>
      <c r="X357" s="54"/>
      <c r="Y357" s="54"/>
      <c r="AB357" s="54"/>
      <c r="AC357" s="54"/>
      <c r="AD357" s="54"/>
      <c r="AG357" s="54"/>
      <c r="AH357" s="54"/>
      <c r="AI357" s="54"/>
    </row>
    <row r="358" spans="18:35" x14ac:dyDescent="0.2">
      <c r="R358" s="54"/>
      <c r="S358" s="54"/>
      <c r="T358" s="54"/>
      <c r="W358" s="54"/>
      <c r="X358" s="54"/>
      <c r="Y358" s="54"/>
      <c r="AB358" s="54"/>
      <c r="AC358" s="54"/>
      <c r="AD358" s="54"/>
      <c r="AG358" s="54"/>
      <c r="AH358" s="54"/>
      <c r="AI358" s="54"/>
    </row>
    <row r="359" spans="18:35" x14ac:dyDescent="0.2">
      <c r="R359" s="54"/>
      <c r="S359" s="54"/>
      <c r="T359" s="54"/>
      <c r="W359" s="54"/>
      <c r="X359" s="54"/>
      <c r="Y359" s="54"/>
      <c r="AB359" s="54"/>
      <c r="AC359" s="54"/>
      <c r="AD359" s="54"/>
      <c r="AG359" s="54"/>
      <c r="AH359" s="54"/>
      <c r="AI359" s="54"/>
    </row>
    <row r="360" spans="18:35" x14ac:dyDescent="0.2">
      <c r="R360" s="54"/>
      <c r="S360" s="54"/>
      <c r="T360" s="54"/>
      <c r="W360" s="54"/>
      <c r="X360" s="54"/>
      <c r="Y360" s="54"/>
      <c r="AB360" s="54"/>
      <c r="AC360" s="54"/>
      <c r="AD360" s="54"/>
      <c r="AG360" s="54"/>
      <c r="AH360" s="54"/>
      <c r="AI360" s="54"/>
    </row>
    <row r="361" spans="18:35" x14ac:dyDescent="0.2">
      <c r="R361" s="54"/>
      <c r="S361" s="54"/>
      <c r="T361" s="54"/>
      <c r="W361" s="54"/>
      <c r="X361" s="54"/>
      <c r="Y361" s="54"/>
      <c r="AB361" s="54"/>
      <c r="AC361" s="54"/>
      <c r="AD361" s="54"/>
      <c r="AG361" s="54"/>
      <c r="AH361" s="54"/>
      <c r="AI361" s="54"/>
    </row>
    <row r="362" spans="18:35" x14ac:dyDescent="0.2">
      <c r="R362" s="54"/>
      <c r="S362" s="54"/>
      <c r="T362" s="54"/>
      <c r="W362" s="54"/>
      <c r="X362" s="54"/>
      <c r="Y362" s="54"/>
      <c r="AB362" s="54"/>
      <c r="AC362" s="54"/>
      <c r="AD362" s="54"/>
      <c r="AG362" s="54"/>
      <c r="AH362" s="54"/>
      <c r="AI362" s="54"/>
    </row>
    <row r="363" spans="18:35" x14ac:dyDescent="0.2">
      <c r="R363" s="54"/>
      <c r="S363" s="54"/>
      <c r="T363" s="54"/>
      <c r="W363" s="54"/>
      <c r="X363" s="54"/>
      <c r="Y363" s="54"/>
      <c r="AB363" s="54"/>
      <c r="AC363" s="54"/>
      <c r="AD363" s="54"/>
      <c r="AG363" s="54"/>
      <c r="AH363" s="54"/>
      <c r="AI363" s="54"/>
    </row>
    <row r="364" spans="18:35" x14ac:dyDescent="0.2">
      <c r="R364" s="54"/>
      <c r="S364" s="54"/>
      <c r="T364" s="54"/>
      <c r="W364" s="54"/>
      <c r="X364" s="54"/>
      <c r="Y364" s="54"/>
      <c r="AB364" s="54"/>
      <c r="AC364" s="54"/>
      <c r="AD364" s="54"/>
      <c r="AG364" s="54"/>
      <c r="AH364" s="54"/>
      <c r="AI364" s="54"/>
    </row>
    <row r="365" spans="18:35" x14ac:dyDescent="0.2">
      <c r="R365" s="54"/>
      <c r="S365" s="54"/>
      <c r="T365" s="54"/>
      <c r="W365" s="54"/>
      <c r="X365" s="54"/>
      <c r="Y365" s="54"/>
      <c r="AB365" s="54"/>
      <c r="AC365" s="54"/>
      <c r="AD365" s="54"/>
      <c r="AG365" s="54"/>
      <c r="AH365" s="54"/>
      <c r="AI365" s="54"/>
    </row>
    <row r="366" spans="18:35" x14ac:dyDescent="0.2">
      <c r="R366" s="54"/>
      <c r="S366" s="54"/>
      <c r="T366" s="54"/>
      <c r="W366" s="54"/>
      <c r="X366" s="54"/>
      <c r="Y366" s="54"/>
      <c r="AB366" s="54"/>
      <c r="AC366" s="54"/>
      <c r="AD366" s="54"/>
      <c r="AG366" s="54"/>
      <c r="AH366" s="54"/>
      <c r="AI366" s="54"/>
    </row>
    <row r="367" spans="18:35" x14ac:dyDescent="0.2">
      <c r="R367" s="54"/>
      <c r="S367" s="54"/>
      <c r="T367" s="54"/>
      <c r="W367" s="54"/>
      <c r="X367" s="54"/>
      <c r="Y367" s="54"/>
      <c r="AB367" s="54"/>
      <c r="AC367" s="54"/>
      <c r="AD367" s="54"/>
      <c r="AG367" s="54"/>
      <c r="AH367" s="54"/>
      <c r="AI367" s="54"/>
    </row>
    <row r="368" spans="18:35" x14ac:dyDescent="0.2">
      <c r="R368" s="54"/>
      <c r="S368" s="54"/>
      <c r="T368" s="54"/>
      <c r="W368" s="54"/>
      <c r="X368" s="54"/>
      <c r="Y368" s="54"/>
      <c r="AB368" s="54"/>
      <c r="AC368" s="54"/>
      <c r="AD368" s="54"/>
      <c r="AG368" s="54"/>
      <c r="AH368" s="54"/>
      <c r="AI368" s="54"/>
    </row>
    <row r="369" spans="18:35" x14ac:dyDescent="0.2">
      <c r="R369" s="54"/>
      <c r="S369" s="54"/>
      <c r="T369" s="54"/>
      <c r="W369" s="54"/>
      <c r="X369" s="54"/>
      <c r="Y369" s="54"/>
      <c r="AB369" s="54"/>
      <c r="AC369" s="54"/>
      <c r="AD369" s="54"/>
      <c r="AG369" s="54"/>
      <c r="AH369" s="54"/>
      <c r="AI369" s="54"/>
    </row>
    <row r="370" spans="18:35" x14ac:dyDescent="0.2">
      <c r="R370" s="54"/>
      <c r="S370" s="54"/>
      <c r="T370" s="54"/>
      <c r="W370" s="54"/>
      <c r="X370" s="54"/>
      <c r="Y370" s="54"/>
      <c r="AB370" s="54"/>
      <c r="AC370" s="54"/>
      <c r="AD370" s="54"/>
      <c r="AG370" s="54"/>
      <c r="AH370" s="54"/>
      <c r="AI370" s="54"/>
    </row>
    <row r="371" spans="18:35" x14ac:dyDescent="0.2">
      <c r="R371" s="54"/>
      <c r="S371" s="54"/>
      <c r="T371" s="54"/>
      <c r="W371" s="54"/>
      <c r="X371" s="54"/>
      <c r="Y371" s="54"/>
      <c r="AB371" s="54"/>
      <c r="AC371" s="54"/>
      <c r="AD371" s="54"/>
      <c r="AG371" s="54"/>
      <c r="AH371" s="54"/>
      <c r="AI371" s="54"/>
    </row>
    <row r="372" spans="18:35" x14ac:dyDescent="0.2">
      <c r="R372" s="54"/>
      <c r="S372" s="54"/>
      <c r="T372" s="54"/>
      <c r="W372" s="54"/>
      <c r="X372" s="54"/>
      <c r="Y372" s="54"/>
      <c r="AB372" s="54"/>
      <c r="AC372" s="54"/>
      <c r="AD372" s="54"/>
      <c r="AG372" s="54"/>
      <c r="AH372" s="54"/>
      <c r="AI372" s="54"/>
    </row>
    <row r="373" spans="18:35" x14ac:dyDescent="0.2">
      <c r="R373" s="54"/>
      <c r="S373" s="54"/>
      <c r="T373" s="54"/>
      <c r="W373" s="54"/>
      <c r="X373" s="54"/>
      <c r="Y373" s="54"/>
      <c r="AB373" s="54"/>
      <c r="AC373" s="54"/>
      <c r="AD373" s="54"/>
      <c r="AG373" s="54"/>
      <c r="AH373" s="54"/>
      <c r="AI373" s="54"/>
    </row>
    <row r="374" spans="18:35" x14ac:dyDescent="0.2">
      <c r="R374" s="54"/>
      <c r="S374" s="54"/>
      <c r="T374" s="54"/>
      <c r="W374" s="54"/>
      <c r="X374" s="54"/>
      <c r="Y374" s="54"/>
      <c r="AB374" s="54"/>
      <c r="AC374" s="54"/>
      <c r="AD374" s="54"/>
      <c r="AG374" s="54"/>
      <c r="AH374" s="54"/>
      <c r="AI374" s="54"/>
    </row>
    <row r="375" spans="18:35" x14ac:dyDescent="0.2">
      <c r="R375" s="54"/>
      <c r="S375" s="54"/>
      <c r="T375" s="54"/>
      <c r="W375" s="54"/>
      <c r="X375" s="54"/>
      <c r="Y375" s="54"/>
      <c r="AB375" s="54"/>
      <c r="AC375" s="54"/>
      <c r="AD375" s="54"/>
      <c r="AG375" s="54"/>
      <c r="AH375" s="54"/>
      <c r="AI375" s="54"/>
    </row>
    <row r="376" spans="18:35" x14ac:dyDescent="0.2">
      <c r="R376" s="54"/>
      <c r="S376" s="54"/>
      <c r="T376" s="54"/>
      <c r="W376" s="54"/>
      <c r="X376" s="54"/>
      <c r="Y376" s="54"/>
      <c r="AB376" s="54"/>
      <c r="AC376" s="54"/>
      <c r="AD376" s="54"/>
      <c r="AG376" s="54"/>
      <c r="AH376" s="54"/>
      <c r="AI376" s="54"/>
    </row>
    <row r="377" spans="18:35" x14ac:dyDescent="0.2">
      <c r="R377" s="54"/>
      <c r="S377" s="54"/>
      <c r="T377" s="54"/>
      <c r="W377" s="54"/>
      <c r="X377" s="54"/>
      <c r="Y377" s="54"/>
      <c r="AB377" s="54"/>
      <c r="AC377" s="54"/>
      <c r="AD377" s="54"/>
      <c r="AG377" s="54"/>
      <c r="AH377" s="54"/>
      <c r="AI377" s="54"/>
    </row>
    <row r="378" spans="18:35" x14ac:dyDescent="0.2">
      <c r="R378" s="54"/>
      <c r="S378" s="54"/>
      <c r="T378" s="54"/>
      <c r="W378" s="54"/>
      <c r="X378" s="54"/>
      <c r="Y378" s="54"/>
      <c r="AB378" s="54"/>
      <c r="AC378" s="54"/>
      <c r="AD378" s="54"/>
      <c r="AG378" s="54"/>
      <c r="AH378" s="54"/>
      <c r="AI378" s="54"/>
    </row>
    <row r="379" spans="18:35" x14ac:dyDescent="0.2">
      <c r="R379" s="54"/>
      <c r="S379" s="54"/>
      <c r="T379" s="54"/>
      <c r="W379" s="54"/>
      <c r="X379" s="54"/>
      <c r="Y379" s="54"/>
      <c r="AB379" s="54"/>
      <c r="AC379" s="54"/>
      <c r="AD379" s="54"/>
      <c r="AG379" s="54"/>
      <c r="AH379" s="54"/>
      <c r="AI379" s="54"/>
    </row>
    <row r="380" spans="18:35" x14ac:dyDescent="0.2">
      <c r="R380" s="54"/>
      <c r="S380" s="54"/>
      <c r="T380" s="54"/>
      <c r="W380" s="54"/>
      <c r="X380" s="54"/>
      <c r="Y380" s="54"/>
      <c r="AB380" s="54"/>
      <c r="AC380" s="54"/>
      <c r="AD380" s="54"/>
      <c r="AG380" s="54"/>
      <c r="AH380" s="54"/>
      <c r="AI380" s="54"/>
    </row>
    <row r="381" spans="18:35" x14ac:dyDescent="0.2">
      <c r="R381" s="54"/>
      <c r="S381" s="54"/>
      <c r="T381" s="54"/>
      <c r="W381" s="54"/>
      <c r="X381" s="54"/>
      <c r="Y381" s="54"/>
      <c r="AB381" s="54"/>
      <c r="AC381" s="54"/>
      <c r="AD381" s="54"/>
      <c r="AG381" s="54"/>
      <c r="AH381" s="54"/>
      <c r="AI381" s="54"/>
    </row>
    <row r="382" spans="18:35" x14ac:dyDescent="0.2">
      <c r="R382" s="54"/>
      <c r="S382" s="54"/>
      <c r="T382" s="54"/>
      <c r="W382" s="54"/>
      <c r="X382" s="54"/>
      <c r="Y382" s="54"/>
      <c r="AB382" s="54"/>
      <c r="AC382" s="54"/>
      <c r="AD382" s="54"/>
      <c r="AG382" s="54"/>
      <c r="AH382" s="54"/>
      <c r="AI382" s="54"/>
    </row>
    <row r="383" spans="18:35" x14ac:dyDescent="0.2">
      <c r="R383" s="54"/>
      <c r="S383" s="54"/>
      <c r="T383" s="54"/>
      <c r="W383" s="54"/>
      <c r="X383" s="54"/>
      <c r="Y383" s="54"/>
      <c r="AB383" s="54"/>
      <c r="AC383" s="54"/>
      <c r="AD383" s="54"/>
      <c r="AG383" s="54"/>
      <c r="AH383" s="54"/>
      <c r="AI383" s="54"/>
    </row>
    <row r="384" spans="18:35" x14ac:dyDescent="0.2">
      <c r="R384" s="54"/>
      <c r="S384" s="54"/>
      <c r="T384" s="54"/>
      <c r="W384" s="54"/>
      <c r="X384" s="54"/>
      <c r="Y384" s="54"/>
      <c r="AB384" s="54"/>
      <c r="AC384" s="54"/>
      <c r="AD384" s="54"/>
      <c r="AG384" s="54"/>
      <c r="AH384" s="54"/>
      <c r="AI384" s="54"/>
    </row>
    <row r="385" spans="18:35" x14ac:dyDescent="0.2">
      <c r="R385" s="54"/>
      <c r="S385" s="54"/>
      <c r="T385" s="54"/>
      <c r="W385" s="54"/>
      <c r="X385" s="54"/>
      <c r="Y385" s="54"/>
      <c r="AB385" s="54"/>
      <c r="AC385" s="54"/>
      <c r="AD385" s="54"/>
      <c r="AG385" s="54"/>
      <c r="AH385" s="54"/>
      <c r="AI385" s="54"/>
    </row>
    <row r="386" spans="18:35" x14ac:dyDescent="0.2">
      <c r="R386" s="54"/>
      <c r="S386" s="54"/>
      <c r="T386" s="54"/>
      <c r="W386" s="54"/>
      <c r="X386" s="54"/>
      <c r="Y386" s="54"/>
      <c r="AB386" s="54"/>
      <c r="AC386" s="54"/>
      <c r="AD386" s="54"/>
      <c r="AG386" s="54"/>
      <c r="AH386" s="54"/>
      <c r="AI386" s="54"/>
    </row>
    <row r="387" spans="18:35" x14ac:dyDescent="0.2">
      <c r="R387" s="54"/>
      <c r="S387" s="54"/>
      <c r="T387" s="54"/>
      <c r="W387" s="54"/>
      <c r="X387" s="54"/>
      <c r="Y387" s="54"/>
      <c r="AB387" s="54"/>
      <c r="AC387" s="54"/>
      <c r="AD387" s="54"/>
      <c r="AG387" s="54"/>
      <c r="AH387" s="54"/>
      <c r="AI387" s="54"/>
    </row>
    <row r="388" spans="18:35" x14ac:dyDescent="0.2">
      <c r="R388" s="54"/>
      <c r="S388" s="54"/>
      <c r="T388" s="54"/>
      <c r="W388" s="54"/>
      <c r="X388" s="54"/>
      <c r="Y388" s="54"/>
      <c r="AB388" s="54"/>
      <c r="AC388" s="54"/>
      <c r="AD388" s="54"/>
      <c r="AG388" s="54"/>
      <c r="AH388" s="54"/>
      <c r="AI388" s="54"/>
    </row>
    <row r="389" spans="18:35" x14ac:dyDescent="0.2">
      <c r="R389" s="54"/>
      <c r="S389" s="54"/>
      <c r="T389" s="54"/>
      <c r="W389" s="54"/>
      <c r="X389" s="54"/>
      <c r="Y389" s="54"/>
      <c r="AB389" s="54"/>
      <c r="AC389" s="54"/>
      <c r="AD389" s="54"/>
      <c r="AG389" s="54"/>
      <c r="AH389" s="54"/>
      <c r="AI389" s="54"/>
    </row>
    <row r="390" spans="18:35" x14ac:dyDescent="0.2">
      <c r="R390" s="54"/>
      <c r="S390" s="54"/>
      <c r="T390" s="54"/>
      <c r="W390" s="54"/>
      <c r="X390" s="54"/>
      <c r="Y390" s="54"/>
      <c r="AB390" s="54"/>
      <c r="AC390" s="54"/>
      <c r="AD390" s="54"/>
      <c r="AG390" s="54"/>
      <c r="AH390" s="54"/>
      <c r="AI390" s="54"/>
    </row>
    <row r="391" spans="18:35" x14ac:dyDescent="0.2">
      <c r="R391" s="54"/>
      <c r="S391" s="54"/>
      <c r="T391" s="54"/>
      <c r="W391" s="54"/>
      <c r="X391" s="54"/>
      <c r="Y391" s="54"/>
      <c r="AB391" s="54"/>
      <c r="AC391" s="54"/>
      <c r="AD391" s="54"/>
      <c r="AG391" s="54"/>
      <c r="AH391" s="54"/>
      <c r="AI391" s="54"/>
    </row>
    <row r="392" spans="18:35" x14ac:dyDescent="0.2">
      <c r="R392" s="54"/>
      <c r="S392" s="54"/>
      <c r="T392" s="54"/>
      <c r="W392" s="54"/>
      <c r="X392" s="54"/>
      <c r="Y392" s="54"/>
      <c r="AB392" s="54"/>
      <c r="AC392" s="54"/>
      <c r="AD392" s="54"/>
      <c r="AG392" s="54"/>
      <c r="AH392" s="54"/>
      <c r="AI392" s="54"/>
    </row>
    <row r="393" spans="18:35" x14ac:dyDescent="0.2">
      <c r="R393" s="54"/>
      <c r="S393" s="54"/>
      <c r="T393" s="54"/>
      <c r="W393" s="54"/>
      <c r="X393" s="54"/>
      <c r="Y393" s="54"/>
      <c r="AB393" s="54"/>
      <c r="AC393" s="54"/>
      <c r="AD393" s="54"/>
      <c r="AG393" s="54"/>
      <c r="AH393" s="54"/>
      <c r="AI393" s="54"/>
    </row>
    <row r="394" spans="18:35" x14ac:dyDescent="0.2">
      <c r="R394" s="54"/>
      <c r="S394" s="54"/>
      <c r="T394" s="54"/>
      <c r="W394" s="54"/>
      <c r="X394" s="54"/>
      <c r="Y394" s="54"/>
      <c r="AB394" s="54"/>
      <c r="AC394" s="54"/>
      <c r="AD394" s="54"/>
      <c r="AG394" s="54"/>
      <c r="AH394" s="54"/>
      <c r="AI394" s="54"/>
    </row>
    <row r="395" spans="18:35" x14ac:dyDescent="0.2">
      <c r="R395" s="54"/>
      <c r="S395" s="54"/>
      <c r="T395" s="54"/>
      <c r="W395" s="54"/>
      <c r="X395" s="54"/>
      <c r="Y395" s="54"/>
      <c r="AB395" s="54"/>
      <c r="AC395" s="54"/>
      <c r="AD395" s="54"/>
      <c r="AG395" s="54"/>
      <c r="AH395" s="54"/>
      <c r="AI395" s="54"/>
    </row>
    <row r="396" spans="18:35" x14ac:dyDescent="0.2">
      <c r="R396" s="54"/>
      <c r="S396" s="54"/>
      <c r="T396" s="54"/>
      <c r="W396" s="54"/>
      <c r="X396" s="54"/>
      <c r="Y396" s="54"/>
      <c r="AB396" s="54"/>
      <c r="AC396" s="54"/>
      <c r="AD396" s="54"/>
      <c r="AG396" s="54"/>
      <c r="AH396" s="54"/>
      <c r="AI396" s="54"/>
    </row>
    <row r="397" spans="18:35" x14ac:dyDescent="0.2">
      <c r="R397" s="54"/>
      <c r="S397" s="54"/>
      <c r="T397" s="54"/>
      <c r="W397" s="54"/>
      <c r="X397" s="54"/>
      <c r="Y397" s="54"/>
      <c r="AB397" s="54"/>
      <c r="AC397" s="54"/>
      <c r="AD397" s="54"/>
      <c r="AG397" s="54"/>
      <c r="AH397" s="54"/>
      <c r="AI397" s="54"/>
    </row>
    <row r="398" spans="18:35" x14ac:dyDescent="0.2">
      <c r="R398" s="54"/>
      <c r="S398" s="54"/>
      <c r="T398" s="54"/>
      <c r="W398" s="54"/>
      <c r="X398" s="54"/>
      <c r="Y398" s="54"/>
      <c r="AB398" s="54"/>
      <c r="AC398" s="54"/>
      <c r="AD398" s="54"/>
      <c r="AG398" s="54"/>
      <c r="AH398" s="54"/>
      <c r="AI398" s="54"/>
    </row>
    <row r="399" spans="18:35" x14ac:dyDescent="0.2">
      <c r="R399" s="54"/>
      <c r="S399" s="54"/>
      <c r="T399" s="54"/>
      <c r="W399" s="54"/>
      <c r="X399" s="54"/>
      <c r="Y399" s="54"/>
      <c r="AB399" s="54"/>
      <c r="AC399" s="54"/>
      <c r="AD399" s="54"/>
      <c r="AG399" s="54"/>
      <c r="AH399" s="54"/>
      <c r="AI399" s="54"/>
    </row>
    <row r="400" spans="18:35" x14ac:dyDescent="0.2">
      <c r="R400" s="54"/>
      <c r="S400" s="54"/>
      <c r="T400" s="54"/>
      <c r="W400" s="54"/>
      <c r="X400" s="54"/>
      <c r="Y400" s="54"/>
      <c r="AB400" s="54"/>
      <c r="AC400" s="54"/>
      <c r="AD400" s="54"/>
      <c r="AG400" s="54"/>
      <c r="AH400" s="54"/>
      <c r="AI400" s="54"/>
    </row>
    <row r="401" spans="18:35" x14ac:dyDescent="0.2">
      <c r="R401" s="54"/>
      <c r="S401" s="54"/>
      <c r="T401" s="54"/>
      <c r="W401" s="54"/>
      <c r="X401" s="54"/>
      <c r="Y401" s="54"/>
      <c r="AB401" s="54"/>
      <c r="AC401" s="54"/>
      <c r="AD401" s="54"/>
      <c r="AG401" s="54"/>
      <c r="AH401" s="54"/>
      <c r="AI401" s="54"/>
    </row>
    <row r="402" spans="18:35" x14ac:dyDescent="0.2">
      <c r="R402" s="54"/>
      <c r="S402" s="54"/>
      <c r="T402" s="54"/>
      <c r="W402" s="54"/>
      <c r="X402" s="54"/>
      <c r="Y402" s="54"/>
      <c r="AB402" s="54"/>
      <c r="AC402" s="54"/>
      <c r="AD402" s="54"/>
      <c r="AG402" s="54"/>
      <c r="AH402" s="54"/>
      <c r="AI402" s="54"/>
    </row>
    <row r="403" spans="18:35" x14ac:dyDescent="0.2">
      <c r="R403" s="54"/>
      <c r="S403" s="54"/>
      <c r="T403" s="54"/>
      <c r="W403" s="54"/>
      <c r="X403" s="54"/>
      <c r="Y403" s="54"/>
      <c r="AB403" s="54"/>
      <c r="AC403" s="54"/>
      <c r="AD403" s="54"/>
      <c r="AG403" s="54"/>
      <c r="AH403" s="54"/>
      <c r="AI403" s="54"/>
    </row>
    <row r="404" spans="18:35" x14ac:dyDescent="0.2">
      <c r="R404" s="54"/>
      <c r="S404" s="54"/>
      <c r="T404" s="54"/>
      <c r="W404" s="54"/>
      <c r="X404" s="54"/>
      <c r="Y404" s="54"/>
      <c r="AB404" s="54"/>
      <c r="AC404" s="54"/>
      <c r="AD404" s="54"/>
      <c r="AG404" s="54"/>
      <c r="AH404" s="54"/>
      <c r="AI404" s="54"/>
    </row>
    <row r="405" spans="18:35" x14ac:dyDescent="0.2">
      <c r="R405" s="54"/>
      <c r="S405" s="54"/>
      <c r="T405" s="54"/>
      <c r="W405" s="54"/>
      <c r="X405" s="54"/>
      <c r="Y405" s="54"/>
      <c r="AB405" s="54"/>
      <c r="AC405" s="54"/>
      <c r="AD405" s="54"/>
      <c r="AG405" s="54"/>
      <c r="AH405" s="54"/>
      <c r="AI405" s="54"/>
    </row>
    <row r="406" spans="18:35" x14ac:dyDescent="0.2">
      <c r="R406" s="54"/>
      <c r="S406" s="54"/>
      <c r="T406" s="54"/>
      <c r="W406" s="54"/>
      <c r="X406" s="54"/>
      <c r="Y406" s="54"/>
      <c r="AB406" s="54"/>
      <c r="AC406" s="54"/>
      <c r="AD406" s="54"/>
      <c r="AG406" s="54"/>
      <c r="AH406" s="54"/>
      <c r="AI406" s="54"/>
    </row>
    <row r="407" spans="18:35" x14ac:dyDescent="0.2">
      <c r="R407" s="54"/>
      <c r="S407" s="54"/>
      <c r="T407" s="54"/>
      <c r="W407" s="54"/>
      <c r="X407" s="54"/>
      <c r="Y407" s="54"/>
      <c r="AB407" s="54"/>
      <c r="AC407" s="54"/>
      <c r="AD407" s="54"/>
      <c r="AG407" s="54"/>
      <c r="AH407" s="54"/>
      <c r="AI407" s="54"/>
    </row>
    <row r="408" spans="18:35" x14ac:dyDescent="0.2">
      <c r="R408" s="54"/>
      <c r="S408" s="54"/>
      <c r="T408" s="54"/>
      <c r="W408" s="54"/>
      <c r="X408" s="54"/>
      <c r="Y408" s="54"/>
      <c r="AB408" s="54"/>
      <c r="AC408" s="54"/>
      <c r="AD408" s="54"/>
      <c r="AG408" s="54"/>
      <c r="AH408" s="54"/>
      <c r="AI408" s="54"/>
    </row>
    <row r="409" spans="18:35" x14ac:dyDescent="0.2">
      <c r="R409" s="54"/>
      <c r="S409" s="54"/>
      <c r="T409" s="54"/>
      <c r="W409" s="54"/>
      <c r="X409" s="54"/>
      <c r="Y409" s="54"/>
      <c r="AB409" s="54"/>
      <c r="AC409" s="54"/>
      <c r="AD409" s="54"/>
      <c r="AG409" s="54"/>
      <c r="AH409" s="54"/>
      <c r="AI409" s="54"/>
    </row>
    <row r="410" spans="18:35" x14ac:dyDescent="0.2">
      <c r="R410" s="54"/>
      <c r="S410" s="54"/>
      <c r="T410" s="54"/>
      <c r="W410" s="54"/>
      <c r="X410" s="54"/>
      <c r="Y410" s="54"/>
      <c r="AB410" s="54"/>
      <c r="AC410" s="54"/>
      <c r="AD410" s="54"/>
      <c r="AG410" s="54"/>
      <c r="AH410" s="54"/>
      <c r="AI410" s="54"/>
    </row>
    <row r="411" spans="18:35" x14ac:dyDescent="0.2">
      <c r="R411" s="54"/>
      <c r="S411" s="54"/>
      <c r="T411" s="54"/>
      <c r="W411" s="54"/>
      <c r="X411" s="54"/>
      <c r="Y411" s="54"/>
      <c r="AB411" s="54"/>
      <c r="AC411" s="54"/>
      <c r="AD411" s="54"/>
      <c r="AG411" s="54"/>
      <c r="AH411" s="54"/>
      <c r="AI411" s="54"/>
    </row>
    <row r="412" spans="18:35" x14ac:dyDescent="0.2">
      <c r="R412" s="54"/>
      <c r="S412" s="54"/>
      <c r="T412" s="54"/>
      <c r="W412" s="54"/>
      <c r="X412" s="54"/>
      <c r="Y412" s="54"/>
      <c r="AB412" s="54"/>
      <c r="AC412" s="54"/>
      <c r="AD412" s="54"/>
      <c r="AG412" s="54"/>
      <c r="AH412" s="54"/>
      <c r="AI412" s="54"/>
    </row>
    <row r="413" spans="18:35" x14ac:dyDescent="0.2">
      <c r="R413" s="54"/>
      <c r="S413" s="54"/>
      <c r="T413" s="54"/>
      <c r="W413" s="54"/>
      <c r="X413" s="54"/>
      <c r="Y413" s="54"/>
      <c r="AB413" s="54"/>
      <c r="AC413" s="54"/>
      <c r="AD413" s="54"/>
      <c r="AG413" s="54"/>
      <c r="AH413" s="54"/>
      <c r="AI413" s="54"/>
    </row>
    <row r="414" spans="18:35" x14ac:dyDescent="0.2">
      <c r="R414" s="54"/>
      <c r="S414" s="54"/>
      <c r="T414" s="54"/>
      <c r="W414" s="54"/>
      <c r="X414" s="54"/>
      <c r="Y414" s="54"/>
      <c r="AB414" s="54"/>
      <c r="AC414" s="54"/>
      <c r="AD414" s="54"/>
      <c r="AG414" s="54"/>
      <c r="AH414" s="54"/>
      <c r="AI414" s="54"/>
    </row>
    <row r="415" spans="18:35" x14ac:dyDescent="0.2">
      <c r="R415" s="54"/>
      <c r="S415" s="54"/>
      <c r="T415" s="54"/>
      <c r="W415" s="54"/>
      <c r="X415" s="54"/>
      <c r="Y415" s="54"/>
      <c r="AB415" s="54"/>
      <c r="AC415" s="54"/>
      <c r="AD415" s="54"/>
      <c r="AG415" s="54"/>
      <c r="AH415" s="54"/>
      <c r="AI415" s="54"/>
    </row>
    <row r="416" spans="18:35" x14ac:dyDescent="0.2">
      <c r="R416" s="54"/>
      <c r="S416" s="54"/>
      <c r="T416" s="54"/>
      <c r="W416" s="54"/>
      <c r="X416" s="54"/>
      <c r="Y416" s="54"/>
      <c r="AB416" s="54"/>
      <c r="AC416" s="54"/>
      <c r="AD416" s="54"/>
      <c r="AG416" s="54"/>
      <c r="AH416" s="54"/>
      <c r="AI416" s="54"/>
    </row>
    <row r="417" spans="18:35" x14ac:dyDescent="0.2">
      <c r="R417" s="54"/>
      <c r="S417" s="54"/>
      <c r="T417" s="54"/>
      <c r="W417" s="54"/>
      <c r="X417" s="54"/>
      <c r="Y417" s="54"/>
      <c r="AB417" s="54"/>
      <c r="AC417" s="54"/>
      <c r="AD417" s="54"/>
      <c r="AG417" s="54"/>
      <c r="AH417" s="54"/>
      <c r="AI417" s="54"/>
    </row>
    <row r="418" spans="18:35" x14ac:dyDescent="0.2">
      <c r="R418" s="54"/>
      <c r="S418" s="54"/>
      <c r="T418" s="54"/>
      <c r="W418" s="54"/>
      <c r="X418" s="54"/>
      <c r="Y418" s="54"/>
      <c r="AB418" s="54"/>
      <c r="AC418" s="54"/>
      <c r="AD418" s="54"/>
      <c r="AG418" s="54"/>
      <c r="AH418" s="54"/>
      <c r="AI418" s="54"/>
    </row>
    <row r="419" spans="18:35" x14ac:dyDescent="0.2">
      <c r="R419" s="54"/>
      <c r="S419" s="54"/>
      <c r="T419" s="54"/>
      <c r="W419" s="54"/>
      <c r="X419" s="54"/>
      <c r="Y419" s="54"/>
      <c r="AB419" s="54"/>
      <c r="AC419" s="54"/>
      <c r="AD419" s="54"/>
      <c r="AG419" s="54"/>
      <c r="AH419" s="54"/>
      <c r="AI419" s="54"/>
    </row>
    <row r="420" spans="18:35" x14ac:dyDescent="0.2">
      <c r="R420" s="54"/>
      <c r="S420" s="54"/>
      <c r="T420" s="54"/>
      <c r="W420" s="54"/>
      <c r="X420" s="54"/>
      <c r="Y420" s="54"/>
      <c r="AB420" s="54"/>
      <c r="AC420" s="54"/>
      <c r="AD420" s="54"/>
      <c r="AG420" s="54"/>
      <c r="AH420" s="54"/>
      <c r="AI420" s="54"/>
    </row>
    <row r="421" spans="18:35" x14ac:dyDescent="0.2">
      <c r="R421" s="54"/>
      <c r="S421" s="54"/>
      <c r="T421" s="54"/>
      <c r="W421" s="54"/>
      <c r="X421" s="54"/>
      <c r="Y421" s="54"/>
      <c r="AB421" s="54"/>
      <c r="AC421" s="54"/>
      <c r="AD421" s="54"/>
      <c r="AG421" s="54"/>
      <c r="AH421" s="54"/>
      <c r="AI421" s="54"/>
    </row>
    <row r="422" spans="18:35" x14ac:dyDescent="0.2">
      <c r="R422" s="54"/>
      <c r="S422" s="54"/>
      <c r="T422" s="54"/>
      <c r="W422" s="54"/>
      <c r="X422" s="54"/>
      <c r="Y422" s="54"/>
      <c r="AB422" s="54"/>
      <c r="AC422" s="54"/>
      <c r="AD422" s="54"/>
      <c r="AG422" s="54"/>
      <c r="AH422" s="54"/>
      <c r="AI422" s="54"/>
    </row>
    <row r="423" spans="18:35" x14ac:dyDescent="0.2">
      <c r="R423" s="54"/>
      <c r="S423" s="54"/>
      <c r="T423" s="54"/>
      <c r="W423" s="54"/>
      <c r="X423" s="54"/>
      <c r="Y423" s="54"/>
      <c r="AB423" s="54"/>
      <c r="AC423" s="54"/>
      <c r="AD423" s="54"/>
      <c r="AG423" s="54"/>
      <c r="AH423" s="54"/>
      <c r="AI423" s="54"/>
    </row>
    <row r="424" spans="18:35" x14ac:dyDescent="0.2">
      <c r="R424" s="54"/>
      <c r="S424" s="54"/>
      <c r="T424" s="54"/>
      <c r="W424" s="54"/>
      <c r="X424" s="54"/>
      <c r="Y424" s="54"/>
      <c r="AB424" s="54"/>
      <c r="AC424" s="54"/>
      <c r="AD424" s="54"/>
      <c r="AG424" s="54"/>
      <c r="AH424" s="54"/>
      <c r="AI424" s="54"/>
    </row>
    <row r="425" spans="18:35" x14ac:dyDescent="0.2">
      <c r="R425" s="54"/>
      <c r="S425" s="54"/>
      <c r="T425" s="54"/>
      <c r="W425" s="54"/>
      <c r="X425" s="54"/>
      <c r="Y425" s="54"/>
      <c r="AB425" s="54"/>
      <c r="AC425" s="54"/>
      <c r="AD425" s="54"/>
      <c r="AG425" s="54"/>
      <c r="AH425" s="54"/>
      <c r="AI425" s="54"/>
    </row>
    <row r="426" spans="18:35" x14ac:dyDescent="0.2">
      <c r="R426" s="54"/>
      <c r="S426" s="54"/>
      <c r="T426" s="54"/>
      <c r="W426" s="54"/>
      <c r="X426" s="54"/>
      <c r="Y426" s="54"/>
      <c r="AB426" s="54"/>
      <c r="AC426" s="54"/>
      <c r="AD426" s="54"/>
      <c r="AG426" s="54"/>
      <c r="AH426" s="54"/>
      <c r="AI426" s="54"/>
    </row>
    <row r="427" spans="18:35" x14ac:dyDescent="0.2">
      <c r="R427" s="54"/>
      <c r="S427" s="54"/>
      <c r="T427" s="54"/>
      <c r="W427" s="54"/>
      <c r="X427" s="54"/>
      <c r="Y427" s="54"/>
      <c r="AB427" s="54"/>
      <c r="AC427" s="54"/>
      <c r="AD427" s="54"/>
      <c r="AG427" s="54"/>
      <c r="AH427" s="54"/>
      <c r="AI427" s="54"/>
    </row>
    <row r="428" spans="18:35" x14ac:dyDescent="0.2">
      <c r="R428" s="54"/>
      <c r="S428" s="54"/>
      <c r="T428" s="54"/>
      <c r="W428" s="54"/>
      <c r="X428" s="54"/>
      <c r="Y428" s="54"/>
      <c r="AB428" s="54"/>
      <c r="AC428" s="54"/>
      <c r="AD428" s="54"/>
      <c r="AG428" s="54"/>
      <c r="AH428" s="54"/>
      <c r="AI428" s="54"/>
    </row>
    <row r="429" spans="18:35" x14ac:dyDescent="0.2">
      <c r="R429" s="54"/>
      <c r="S429" s="54"/>
      <c r="T429" s="54"/>
      <c r="W429" s="54"/>
      <c r="X429" s="54"/>
      <c r="Y429" s="54"/>
      <c r="AB429" s="54"/>
      <c r="AC429" s="54"/>
      <c r="AD429" s="54"/>
      <c r="AG429" s="54"/>
      <c r="AH429" s="54"/>
      <c r="AI429" s="54"/>
    </row>
    <row r="430" spans="18:35" x14ac:dyDescent="0.2">
      <c r="R430" s="54"/>
      <c r="S430" s="54"/>
      <c r="T430" s="54"/>
      <c r="W430" s="54"/>
      <c r="X430" s="54"/>
      <c r="Y430" s="54"/>
      <c r="AB430" s="54"/>
      <c r="AC430" s="54"/>
      <c r="AD430" s="54"/>
      <c r="AG430" s="54"/>
      <c r="AH430" s="54"/>
      <c r="AI430" s="54"/>
    </row>
    <row r="431" spans="18:35" x14ac:dyDescent="0.2">
      <c r="R431" s="54"/>
      <c r="S431" s="54"/>
      <c r="T431" s="54"/>
      <c r="W431" s="54"/>
      <c r="X431" s="54"/>
      <c r="Y431" s="54"/>
      <c r="AB431" s="54"/>
      <c r="AC431" s="54"/>
      <c r="AD431" s="54"/>
      <c r="AG431" s="54"/>
      <c r="AH431" s="54"/>
      <c r="AI431" s="54"/>
    </row>
    <row r="432" spans="18:35" x14ac:dyDescent="0.2">
      <c r="R432" s="54"/>
      <c r="S432" s="54"/>
      <c r="T432" s="54"/>
      <c r="W432" s="54"/>
      <c r="X432" s="54"/>
      <c r="Y432" s="54"/>
      <c r="AB432" s="54"/>
      <c r="AC432" s="54"/>
      <c r="AD432" s="54"/>
      <c r="AG432" s="54"/>
      <c r="AH432" s="54"/>
      <c r="AI432" s="54"/>
    </row>
    <row r="433" spans="18:35" x14ac:dyDescent="0.2">
      <c r="R433" s="54"/>
      <c r="S433" s="54"/>
      <c r="T433" s="54"/>
      <c r="W433" s="54"/>
      <c r="X433" s="54"/>
      <c r="Y433" s="54"/>
      <c r="AB433" s="54"/>
      <c r="AC433" s="54"/>
      <c r="AD433" s="54"/>
      <c r="AG433" s="54"/>
      <c r="AH433" s="54"/>
      <c r="AI433" s="54"/>
    </row>
    <row r="434" spans="18:35" x14ac:dyDescent="0.2">
      <c r="R434" s="54"/>
      <c r="S434" s="54"/>
      <c r="T434" s="54"/>
      <c r="W434" s="54"/>
      <c r="X434" s="54"/>
      <c r="Y434" s="54"/>
      <c r="AB434" s="54"/>
      <c r="AC434" s="54"/>
      <c r="AD434" s="54"/>
      <c r="AG434" s="54"/>
      <c r="AH434" s="54"/>
      <c r="AI434" s="54"/>
    </row>
    <row r="435" spans="18:35" x14ac:dyDescent="0.2">
      <c r="R435" s="54"/>
      <c r="S435" s="54"/>
      <c r="T435" s="54"/>
      <c r="W435" s="54"/>
      <c r="X435" s="54"/>
      <c r="Y435" s="54"/>
      <c r="AB435" s="54"/>
      <c r="AC435" s="54"/>
      <c r="AD435" s="54"/>
      <c r="AG435" s="54"/>
      <c r="AH435" s="54"/>
      <c r="AI435" s="54"/>
    </row>
    <row r="436" spans="18:35" x14ac:dyDescent="0.2">
      <c r="R436" s="54"/>
      <c r="S436" s="54"/>
      <c r="T436" s="54"/>
      <c r="W436" s="54"/>
      <c r="X436" s="54"/>
      <c r="Y436" s="54"/>
      <c r="AB436" s="54"/>
      <c r="AC436" s="54"/>
      <c r="AD436" s="54"/>
      <c r="AG436" s="54"/>
      <c r="AH436" s="54"/>
      <c r="AI436" s="54"/>
    </row>
    <row r="437" spans="18:35" x14ac:dyDescent="0.2">
      <c r="R437" s="54"/>
      <c r="S437" s="54"/>
      <c r="T437" s="54"/>
      <c r="W437" s="54"/>
      <c r="X437" s="54"/>
      <c r="Y437" s="54"/>
      <c r="AB437" s="54"/>
      <c r="AC437" s="54"/>
      <c r="AD437" s="54"/>
      <c r="AG437" s="54"/>
      <c r="AH437" s="54"/>
      <c r="AI437" s="54"/>
    </row>
    <row r="438" spans="18:35" x14ac:dyDescent="0.2">
      <c r="R438" s="54"/>
      <c r="S438" s="54"/>
      <c r="T438" s="54"/>
      <c r="W438" s="54"/>
      <c r="X438" s="54"/>
      <c r="Y438" s="54"/>
      <c r="AB438" s="54"/>
      <c r="AC438" s="54"/>
      <c r="AD438" s="54"/>
      <c r="AG438" s="54"/>
      <c r="AH438" s="54"/>
      <c r="AI438" s="54"/>
    </row>
    <row r="439" spans="18:35" x14ac:dyDescent="0.2">
      <c r="R439" s="54"/>
      <c r="S439" s="54"/>
      <c r="T439" s="54"/>
      <c r="W439" s="54"/>
      <c r="X439" s="54"/>
      <c r="Y439" s="54"/>
      <c r="AB439" s="54"/>
      <c r="AC439" s="54"/>
      <c r="AD439" s="54"/>
      <c r="AG439" s="54"/>
      <c r="AH439" s="54"/>
      <c r="AI439" s="54"/>
    </row>
    <row r="440" spans="18:35" x14ac:dyDescent="0.2">
      <c r="R440" s="54"/>
      <c r="S440" s="54"/>
      <c r="T440" s="54"/>
      <c r="W440" s="54"/>
      <c r="X440" s="54"/>
      <c r="Y440" s="54"/>
      <c r="AB440" s="54"/>
      <c r="AC440" s="54"/>
      <c r="AD440" s="54"/>
      <c r="AG440" s="54"/>
      <c r="AH440" s="54"/>
      <c r="AI440" s="54"/>
    </row>
    <row r="441" spans="18:35" x14ac:dyDescent="0.2">
      <c r="R441" s="54"/>
      <c r="S441" s="54"/>
      <c r="T441" s="54"/>
      <c r="W441" s="54"/>
      <c r="X441" s="54"/>
      <c r="Y441" s="54"/>
      <c r="AB441" s="54"/>
      <c r="AC441" s="54"/>
      <c r="AD441" s="54"/>
      <c r="AG441" s="54"/>
      <c r="AH441" s="54"/>
      <c r="AI441" s="54"/>
    </row>
    <row r="442" spans="18:35" x14ac:dyDescent="0.2">
      <c r="R442" s="54"/>
      <c r="S442" s="54"/>
      <c r="T442" s="54"/>
      <c r="W442" s="54"/>
      <c r="X442" s="54"/>
      <c r="Y442" s="54"/>
      <c r="AB442" s="54"/>
      <c r="AC442" s="54"/>
      <c r="AD442" s="54"/>
      <c r="AG442" s="54"/>
      <c r="AH442" s="54"/>
      <c r="AI442" s="54"/>
    </row>
    <row r="443" spans="18:35" x14ac:dyDescent="0.2">
      <c r="R443" s="54"/>
      <c r="S443" s="54"/>
      <c r="T443" s="54"/>
      <c r="W443" s="54"/>
      <c r="X443" s="54"/>
      <c r="Y443" s="54"/>
      <c r="AB443" s="54"/>
      <c r="AC443" s="54"/>
      <c r="AD443" s="54"/>
      <c r="AG443" s="54"/>
      <c r="AH443" s="54"/>
      <c r="AI443" s="54"/>
    </row>
    <row r="444" spans="18:35" x14ac:dyDescent="0.2">
      <c r="R444" s="54"/>
      <c r="S444" s="54"/>
      <c r="T444" s="54"/>
      <c r="W444" s="54"/>
      <c r="X444" s="54"/>
      <c r="Y444" s="54"/>
      <c r="AB444" s="54"/>
      <c r="AC444" s="54"/>
      <c r="AD444" s="54"/>
      <c r="AG444" s="54"/>
      <c r="AH444" s="54"/>
      <c r="AI444" s="54"/>
    </row>
    <row r="445" spans="18:35" x14ac:dyDescent="0.2">
      <c r="R445" s="54"/>
      <c r="S445" s="54"/>
      <c r="T445" s="54"/>
      <c r="W445" s="54"/>
      <c r="X445" s="54"/>
      <c r="Y445" s="54"/>
      <c r="AB445" s="54"/>
      <c r="AC445" s="54"/>
      <c r="AD445" s="54"/>
      <c r="AG445" s="54"/>
      <c r="AH445" s="54"/>
      <c r="AI445" s="54"/>
    </row>
    <row r="446" spans="18:35" x14ac:dyDescent="0.2">
      <c r="R446" s="54"/>
      <c r="S446" s="54"/>
      <c r="T446" s="54"/>
      <c r="W446" s="54"/>
      <c r="X446" s="54"/>
      <c r="Y446" s="54"/>
      <c r="AB446" s="54"/>
      <c r="AC446" s="54"/>
      <c r="AD446" s="54"/>
      <c r="AG446" s="54"/>
      <c r="AH446" s="54"/>
      <c r="AI446" s="54"/>
    </row>
    <row r="447" spans="18:35" x14ac:dyDescent="0.2">
      <c r="R447" s="54"/>
      <c r="S447" s="54"/>
      <c r="T447" s="54"/>
      <c r="W447" s="54"/>
      <c r="X447" s="54"/>
      <c r="Y447" s="54"/>
      <c r="AB447" s="54"/>
      <c r="AC447" s="54"/>
      <c r="AD447" s="54"/>
      <c r="AG447" s="54"/>
      <c r="AH447" s="54"/>
      <c r="AI447" s="54"/>
    </row>
    <row r="448" spans="18:35" x14ac:dyDescent="0.2">
      <c r="R448" s="54"/>
      <c r="S448" s="54"/>
      <c r="T448" s="54"/>
      <c r="W448" s="54"/>
      <c r="X448" s="54"/>
      <c r="Y448" s="54"/>
      <c r="AB448" s="54"/>
      <c r="AC448" s="54"/>
      <c r="AD448" s="54"/>
      <c r="AG448" s="54"/>
      <c r="AH448" s="54"/>
      <c r="AI448" s="54"/>
    </row>
    <row r="449" spans="18:35" x14ac:dyDescent="0.2">
      <c r="R449" s="54"/>
      <c r="S449" s="54"/>
      <c r="T449" s="54"/>
      <c r="W449" s="54"/>
      <c r="X449" s="54"/>
      <c r="Y449" s="54"/>
      <c r="AB449" s="54"/>
      <c r="AC449" s="54"/>
      <c r="AD449" s="54"/>
      <c r="AG449" s="54"/>
      <c r="AH449" s="54"/>
      <c r="AI449" s="54"/>
    </row>
    <row r="450" spans="18:35" x14ac:dyDescent="0.2">
      <c r="R450" s="54"/>
      <c r="S450" s="54"/>
      <c r="T450" s="54"/>
      <c r="W450" s="54"/>
      <c r="X450" s="54"/>
      <c r="Y450" s="54"/>
      <c r="AB450" s="54"/>
      <c r="AC450" s="54"/>
      <c r="AD450" s="54"/>
      <c r="AG450" s="54"/>
      <c r="AH450" s="54"/>
      <c r="AI450" s="54"/>
    </row>
    <row r="451" spans="18:35" x14ac:dyDescent="0.2">
      <c r="R451" s="54"/>
      <c r="S451" s="54"/>
      <c r="T451" s="54"/>
      <c r="W451" s="54"/>
      <c r="X451" s="54"/>
      <c r="Y451" s="54"/>
      <c r="AB451" s="54"/>
      <c r="AC451" s="54"/>
      <c r="AD451" s="54"/>
      <c r="AG451" s="54"/>
      <c r="AH451" s="54"/>
      <c r="AI451" s="54"/>
    </row>
    <row r="452" spans="18:35" x14ac:dyDescent="0.2">
      <c r="R452" s="54"/>
      <c r="S452" s="54"/>
      <c r="T452" s="54"/>
      <c r="W452" s="54"/>
      <c r="X452" s="54"/>
      <c r="Y452" s="54"/>
      <c r="AB452" s="54"/>
      <c r="AC452" s="54"/>
      <c r="AD452" s="54"/>
      <c r="AG452" s="54"/>
      <c r="AH452" s="54"/>
      <c r="AI452" s="54"/>
    </row>
    <row r="453" spans="18:35" x14ac:dyDescent="0.2">
      <c r="R453" s="54"/>
      <c r="S453" s="54"/>
      <c r="T453" s="54"/>
      <c r="W453" s="54"/>
      <c r="X453" s="54"/>
      <c r="Y453" s="54"/>
      <c r="AB453" s="54"/>
      <c r="AC453" s="54"/>
      <c r="AD453" s="54"/>
      <c r="AG453" s="54"/>
      <c r="AH453" s="54"/>
      <c r="AI453" s="54"/>
    </row>
    <row r="454" spans="18:35" x14ac:dyDescent="0.2">
      <c r="R454" s="54"/>
      <c r="S454" s="54"/>
      <c r="T454" s="54"/>
      <c r="W454" s="54"/>
      <c r="X454" s="54"/>
      <c r="Y454" s="54"/>
      <c r="AB454" s="54"/>
      <c r="AC454" s="54"/>
      <c r="AD454" s="54"/>
      <c r="AG454" s="54"/>
      <c r="AH454" s="54"/>
      <c r="AI454" s="54"/>
    </row>
    <row r="455" spans="18:35" x14ac:dyDescent="0.2">
      <c r="R455" s="54"/>
      <c r="S455" s="54"/>
      <c r="T455" s="54"/>
      <c r="W455" s="54"/>
      <c r="X455" s="54"/>
      <c r="Y455" s="54"/>
      <c r="AB455" s="54"/>
      <c r="AC455" s="54"/>
      <c r="AD455" s="54"/>
      <c r="AG455" s="54"/>
      <c r="AH455" s="54"/>
      <c r="AI455" s="54"/>
    </row>
    <row r="456" spans="18:35" x14ac:dyDescent="0.2">
      <c r="R456" s="54"/>
      <c r="S456" s="54"/>
      <c r="T456" s="54"/>
      <c r="W456" s="54"/>
      <c r="X456" s="54"/>
      <c r="Y456" s="54"/>
      <c r="AB456" s="54"/>
      <c r="AC456" s="54"/>
      <c r="AD456" s="54"/>
      <c r="AG456" s="54"/>
      <c r="AH456" s="54"/>
      <c r="AI456" s="54"/>
    </row>
    <row r="457" spans="18:35" x14ac:dyDescent="0.2">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4819650</xdr:colOff>
                    <xdr:row>0</xdr:row>
                    <xdr:rowOff>476250</xdr:rowOff>
                  </from>
                  <to>
                    <xdr:col>16</xdr:col>
                    <xdr:colOff>5200650</xdr:colOff>
                    <xdr:row>1</xdr:row>
                    <xdr:rowOff>133350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314325</xdr:colOff>
                    <xdr:row>69</xdr:row>
                    <xdr:rowOff>76200</xdr:rowOff>
                  </from>
                  <to>
                    <xdr:col>2</xdr:col>
                    <xdr:colOff>895350</xdr:colOff>
                    <xdr:row>71</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9525</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123825</xdr:colOff>
                    <xdr:row>7</xdr:row>
                    <xdr:rowOff>9525</xdr:rowOff>
                  </from>
                  <to>
                    <xdr:col>5</xdr:col>
                    <xdr:colOff>304800</xdr:colOff>
                    <xdr:row>8</xdr:row>
                    <xdr:rowOff>19050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371475</xdr:colOff>
                    <xdr:row>77</xdr:row>
                    <xdr:rowOff>28575</xdr:rowOff>
                  </from>
                  <to>
                    <xdr:col>13</xdr:col>
                    <xdr:colOff>428625</xdr:colOff>
                    <xdr:row>78</xdr:row>
                    <xdr:rowOff>104775</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9525</xdr:colOff>
                    <xdr:row>54</xdr:row>
                    <xdr:rowOff>0</xdr:rowOff>
                  </from>
                  <to>
                    <xdr:col>1</xdr:col>
                    <xdr:colOff>476250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514350</xdr:colOff>
                    <xdr:row>5</xdr:row>
                    <xdr:rowOff>9525</xdr:rowOff>
                  </from>
                  <to>
                    <xdr:col>5</xdr:col>
                    <xdr:colOff>95250</xdr:colOff>
                    <xdr:row>6</xdr:row>
                    <xdr:rowOff>9525</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9525</xdr:colOff>
                    <xdr:row>56</xdr:row>
                    <xdr:rowOff>0</xdr:rowOff>
                  </from>
                  <to>
                    <xdr:col>1</xdr:col>
                    <xdr:colOff>76200</xdr:colOff>
                    <xdr:row>56</xdr:row>
                    <xdr:rowOff>180975</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9525</xdr:colOff>
                    <xdr:row>62</xdr:row>
                    <xdr:rowOff>0</xdr:rowOff>
                  </from>
                  <to>
                    <xdr:col>10</xdr:col>
                    <xdr:colOff>180975</xdr:colOff>
                    <xdr:row>62</xdr:row>
                    <xdr:rowOff>180975</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66675</xdr:colOff>
                    <xdr:row>41</xdr:row>
                    <xdr:rowOff>76200</xdr:rowOff>
                  </from>
                  <to>
                    <xdr:col>12</xdr:col>
                    <xdr:colOff>333375</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19050</xdr:colOff>
                    <xdr:row>102</xdr:row>
                    <xdr:rowOff>0</xdr:rowOff>
                  </from>
                  <to>
                    <xdr:col>2</xdr:col>
                    <xdr:colOff>9525</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371475</xdr:colOff>
                    <xdr:row>4</xdr:row>
                    <xdr:rowOff>9525</xdr:rowOff>
                  </from>
                  <to>
                    <xdr:col>7</xdr:col>
                    <xdr:colOff>514350</xdr:colOff>
                    <xdr:row>4</xdr:row>
                    <xdr:rowOff>238125</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219075</xdr:colOff>
                    <xdr:row>15</xdr:row>
                    <xdr:rowOff>9525</xdr:rowOff>
                  </from>
                  <to>
                    <xdr:col>7</xdr:col>
                    <xdr:colOff>476250</xdr:colOff>
                    <xdr:row>15</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zoomScaleNormal="100" workbookViewId="0">
      <selection activeCell="D77" sqref="D77"/>
    </sheetView>
  </sheetViews>
  <sheetFormatPr defaultRowHeight="12.75" x14ac:dyDescent="0.2"/>
  <cols>
    <col min="1" max="1" width="9.5703125" style="214" customWidth="1"/>
    <col min="2" max="2" width="20.28515625" style="214" customWidth="1"/>
    <col min="3" max="3" width="16.140625" style="214" customWidth="1"/>
    <col min="4" max="4" width="20.140625" style="214" customWidth="1"/>
    <col min="5" max="5" width="17.28515625" style="214" customWidth="1"/>
    <col min="6" max="6" width="20.5703125" style="214" bestFit="1" customWidth="1"/>
    <col min="7" max="7" width="9.7109375" style="214" customWidth="1"/>
    <col min="8" max="8" width="16.140625" style="214" customWidth="1"/>
    <col min="9" max="9" width="17.28515625" style="214" customWidth="1"/>
    <col min="10" max="10" width="18.42578125" style="214" customWidth="1"/>
    <col min="11" max="11" width="26.42578125" style="214" customWidth="1"/>
    <col min="12" max="12" width="9.140625" style="214"/>
    <col min="13" max="13" width="9.140625" style="215"/>
    <col min="14" max="256" width="9.140625" style="214"/>
    <col min="257" max="257" width="8.7109375" style="214" bestFit="1" customWidth="1"/>
    <col min="258" max="258" width="13.28515625" style="214" customWidth="1"/>
    <col min="259" max="259" width="16.140625" style="214" bestFit="1" customWidth="1"/>
    <col min="260" max="260" width="23.5703125" style="214" customWidth="1"/>
    <col min="261" max="261" width="17.28515625" style="214" customWidth="1"/>
    <col min="262" max="262" width="20.5703125" style="214" bestFit="1" customWidth="1"/>
    <col min="263" max="263" width="17.140625" style="214" customWidth="1"/>
    <col min="264" max="264" width="21.85546875" style="214" bestFit="1" customWidth="1"/>
    <col min="265" max="265" width="17.140625" style="214" bestFit="1" customWidth="1"/>
    <col min="266" max="266" width="18.140625" style="214" bestFit="1" customWidth="1"/>
    <col min="267" max="267" width="26.42578125" style="214" customWidth="1"/>
    <col min="268" max="512" width="9.140625" style="214"/>
    <col min="513" max="513" width="8.7109375" style="214" bestFit="1" customWidth="1"/>
    <col min="514" max="514" width="13.28515625" style="214" customWidth="1"/>
    <col min="515" max="515" width="16.140625" style="214" bestFit="1" customWidth="1"/>
    <col min="516" max="516" width="23.5703125" style="214" customWidth="1"/>
    <col min="517" max="517" width="17.28515625" style="214" customWidth="1"/>
    <col min="518" max="518" width="20.5703125" style="214" bestFit="1" customWidth="1"/>
    <col min="519" max="519" width="17.140625" style="214" customWidth="1"/>
    <col min="520" max="520" width="21.85546875" style="214" bestFit="1" customWidth="1"/>
    <col min="521" max="521" width="17.140625" style="214" bestFit="1" customWidth="1"/>
    <col min="522" max="522" width="18.140625" style="214" bestFit="1" customWidth="1"/>
    <col min="523" max="523" width="26.42578125" style="214" customWidth="1"/>
    <col min="524" max="768" width="9.140625" style="214"/>
    <col min="769" max="769" width="8.7109375" style="214" bestFit="1" customWidth="1"/>
    <col min="770" max="770" width="13.28515625" style="214" customWidth="1"/>
    <col min="771" max="771" width="16.140625" style="214" bestFit="1" customWidth="1"/>
    <col min="772" max="772" width="23.5703125" style="214" customWidth="1"/>
    <col min="773" max="773" width="17.28515625" style="214" customWidth="1"/>
    <col min="774" max="774" width="20.5703125" style="214" bestFit="1" customWidth="1"/>
    <col min="775" max="775" width="17.140625" style="214" customWidth="1"/>
    <col min="776" max="776" width="21.85546875" style="214" bestFit="1" customWidth="1"/>
    <col min="777" max="777" width="17.140625" style="214" bestFit="1" customWidth="1"/>
    <col min="778" max="778" width="18.140625" style="214" bestFit="1" customWidth="1"/>
    <col min="779" max="779" width="26.42578125" style="214" customWidth="1"/>
    <col min="780" max="1024" width="9.140625" style="214"/>
    <col min="1025" max="1025" width="8.7109375" style="214" bestFit="1" customWidth="1"/>
    <col min="1026" max="1026" width="13.28515625" style="214" customWidth="1"/>
    <col min="1027" max="1027" width="16.140625" style="214" bestFit="1" customWidth="1"/>
    <col min="1028" max="1028" width="23.5703125" style="214" customWidth="1"/>
    <col min="1029" max="1029" width="17.28515625" style="214" customWidth="1"/>
    <col min="1030" max="1030" width="20.5703125" style="214" bestFit="1" customWidth="1"/>
    <col min="1031" max="1031" width="17.140625" style="214" customWidth="1"/>
    <col min="1032" max="1032" width="21.85546875" style="214" bestFit="1" customWidth="1"/>
    <col min="1033" max="1033" width="17.140625" style="214" bestFit="1" customWidth="1"/>
    <col min="1034" max="1034" width="18.140625" style="214" bestFit="1" customWidth="1"/>
    <col min="1035" max="1035" width="26.42578125" style="214" customWidth="1"/>
    <col min="1036" max="1280" width="9.140625" style="214"/>
    <col min="1281" max="1281" width="8.7109375" style="214" bestFit="1" customWidth="1"/>
    <col min="1282" max="1282" width="13.28515625" style="214" customWidth="1"/>
    <col min="1283" max="1283" width="16.140625" style="214" bestFit="1" customWidth="1"/>
    <col min="1284" max="1284" width="23.5703125" style="214" customWidth="1"/>
    <col min="1285" max="1285" width="17.28515625" style="214" customWidth="1"/>
    <col min="1286" max="1286" width="20.5703125" style="214" bestFit="1" customWidth="1"/>
    <col min="1287" max="1287" width="17.140625" style="214" customWidth="1"/>
    <col min="1288" max="1288" width="21.85546875" style="214" bestFit="1" customWidth="1"/>
    <col min="1289" max="1289" width="17.140625" style="214" bestFit="1" customWidth="1"/>
    <col min="1290" max="1290" width="18.140625" style="214" bestFit="1" customWidth="1"/>
    <col min="1291" max="1291" width="26.42578125" style="214" customWidth="1"/>
    <col min="1292" max="1536" width="9.140625" style="214"/>
    <col min="1537" max="1537" width="8.7109375" style="214" bestFit="1" customWidth="1"/>
    <col min="1538" max="1538" width="13.28515625" style="214" customWidth="1"/>
    <col min="1539" max="1539" width="16.140625" style="214" bestFit="1" customWidth="1"/>
    <col min="1540" max="1540" width="23.5703125" style="214" customWidth="1"/>
    <col min="1541" max="1541" width="17.28515625" style="214" customWidth="1"/>
    <col min="1542" max="1542" width="20.5703125" style="214" bestFit="1" customWidth="1"/>
    <col min="1543" max="1543" width="17.140625" style="214" customWidth="1"/>
    <col min="1544" max="1544" width="21.85546875" style="214" bestFit="1" customWidth="1"/>
    <col min="1545" max="1545" width="17.140625" style="214" bestFit="1" customWidth="1"/>
    <col min="1546" max="1546" width="18.140625" style="214" bestFit="1" customWidth="1"/>
    <col min="1547" max="1547" width="26.42578125" style="214" customWidth="1"/>
    <col min="1548" max="1792" width="9.140625" style="214"/>
    <col min="1793" max="1793" width="8.7109375" style="214" bestFit="1" customWidth="1"/>
    <col min="1794" max="1794" width="13.28515625" style="214" customWidth="1"/>
    <col min="1795" max="1795" width="16.140625" style="214" bestFit="1" customWidth="1"/>
    <col min="1796" max="1796" width="23.5703125" style="214" customWidth="1"/>
    <col min="1797" max="1797" width="17.28515625" style="214" customWidth="1"/>
    <col min="1798" max="1798" width="20.5703125" style="214" bestFit="1" customWidth="1"/>
    <col min="1799" max="1799" width="17.140625" style="214" customWidth="1"/>
    <col min="1800" max="1800" width="21.85546875" style="214" bestFit="1" customWidth="1"/>
    <col min="1801" max="1801" width="17.140625" style="214" bestFit="1" customWidth="1"/>
    <col min="1802" max="1802" width="18.140625" style="214" bestFit="1" customWidth="1"/>
    <col min="1803" max="1803" width="26.42578125" style="214" customWidth="1"/>
    <col min="1804" max="2048" width="9.140625" style="214"/>
    <col min="2049" max="2049" width="8.7109375" style="214" bestFit="1" customWidth="1"/>
    <col min="2050" max="2050" width="13.28515625" style="214" customWidth="1"/>
    <col min="2051" max="2051" width="16.140625" style="214" bestFit="1" customWidth="1"/>
    <col min="2052" max="2052" width="23.5703125" style="214" customWidth="1"/>
    <col min="2053" max="2053" width="17.28515625" style="214" customWidth="1"/>
    <col min="2054" max="2054" width="20.5703125" style="214" bestFit="1" customWidth="1"/>
    <col min="2055" max="2055" width="17.140625" style="214" customWidth="1"/>
    <col min="2056" max="2056" width="21.85546875" style="214" bestFit="1" customWidth="1"/>
    <col min="2057" max="2057" width="17.140625" style="214" bestFit="1" customWidth="1"/>
    <col min="2058" max="2058" width="18.140625" style="214" bestFit="1" customWidth="1"/>
    <col min="2059" max="2059" width="26.42578125" style="214" customWidth="1"/>
    <col min="2060" max="2304" width="9.140625" style="214"/>
    <col min="2305" max="2305" width="8.7109375" style="214" bestFit="1" customWidth="1"/>
    <col min="2306" max="2306" width="13.28515625" style="214" customWidth="1"/>
    <col min="2307" max="2307" width="16.140625" style="214" bestFit="1" customWidth="1"/>
    <col min="2308" max="2308" width="23.5703125" style="214" customWidth="1"/>
    <col min="2309" max="2309" width="17.28515625" style="214" customWidth="1"/>
    <col min="2310" max="2310" width="20.5703125" style="214" bestFit="1" customWidth="1"/>
    <col min="2311" max="2311" width="17.140625" style="214" customWidth="1"/>
    <col min="2312" max="2312" width="21.85546875" style="214" bestFit="1" customWidth="1"/>
    <col min="2313" max="2313" width="17.140625" style="214" bestFit="1" customWidth="1"/>
    <col min="2314" max="2314" width="18.140625" style="214" bestFit="1" customWidth="1"/>
    <col min="2315" max="2315" width="26.42578125" style="214" customWidth="1"/>
    <col min="2316" max="2560" width="9.140625" style="214"/>
    <col min="2561" max="2561" width="8.7109375" style="214" bestFit="1" customWidth="1"/>
    <col min="2562" max="2562" width="13.28515625" style="214" customWidth="1"/>
    <col min="2563" max="2563" width="16.140625" style="214" bestFit="1" customWidth="1"/>
    <col min="2564" max="2564" width="23.5703125" style="214" customWidth="1"/>
    <col min="2565" max="2565" width="17.28515625" style="214" customWidth="1"/>
    <col min="2566" max="2566" width="20.5703125" style="214" bestFit="1" customWidth="1"/>
    <col min="2567" max="2567" width="17.140625" style="214" customWidth="1"/>
    <col min="2568" max="2568" width="21.85546875" style="214" bestFit="1" customWidth="1"/>
    <col min="2569" max="2569" width="17.140625" style="214" bestFit="1" customWidth="1"/>
    <col min="2570" max="2570" width="18.140625" style="214" bestFit="1" customWidth="1"/>
    <col min="2571" max="2571" width="26.42578125" style="214" customWidth="1"/>
    <col min="2572" max="2816" width="9.140625" style="214"/>
    <col min="2817" max="2817" width="8.7109375" style="214" bestFit="1" customWidth="1"/>
    <col min="2818" max="2818" width="13.28515625" style="214" customWidth="1"/>
    <col min="2819" max="2819" width="16.140625" style="214" bestFit="1" customWidth="1"/>
    <col min="2820" max="2820" width="23.5703125" style="214" customWidth="1"/>
    <col min="2821" max="2821" width="17.28515625" style="214" customWidth="1"/>
    <col min="2822" max="2822" width="20.5703125" style="214" bestFit="1" customWidth="1"/>
    <col min="2823" max="2823" width="17.140625" style="214" customWidth="1"/>
    <col min="2824" max="2824" width="21.85546875" style="214" bestFit="1" customWidth="1"/>
    <col min="2825" max="2825" width="17.140625" style="214" bestFit="1" customWidth="1"/>
    <col min="2826" max="2826" width="18.140625" style="214" bestFit="1" customWidth="1"/>
    <col min="2827" max="2827" width="26.42578125" style="214" customWidth="1"/>
    <col min="2828" max="3072" width="9.140625" style="214"/>
    <col min="3073" max="3073" width="8.7109375" style="214" bestFit="1" customWidth="1"/>
    <col min="3074" max="3074" width="13.28515625" style="214" customWidth="1"/>
    <col min="3075" max="3075" width="16.140625" style="214" bestFit="1" customWidth="1"/>
    <col min="3076" max="3076" width="23.5703125" style="214" customWidth="1"/>
    <col min="3077" max="3077" width="17.28515625" style="214" customWidth="1"/>
    <col min="3078" max="3078" width="20.5703125" style="214" bestFit="1" customWidth="1"/>
    <col min="3079" max="3079" width="17.140625" style="214" customWidth="1"/>
    <col min="3080" max="3080" width="21.85546875" style="214" bestFit="1" customWidth="1"/>
    <col min="3081" max="3081" width="17.140625" style="214" bestFit="1" customWidth="1"/>
    <col min="3082" max="3082" width="18.140625" style="214" bestFit="1" customWidth="1"/>
    <col min="3083" max="3083" width="26.42578125" style="214" customWidth="1"/>
    <col min="3084" max="3328" width="9.140625" style="214"/>
    <col min="3329" max="3329" width="8.7109375" style="214" bestFit="1" customWidth="1"/>
    <col min="3330" max="3330" width="13.28515625" style="214" customWidth="1"/>
    <col min="3331" max="3331" width="16.140625" style="214" bestFit="1" customWidth="1"/>
    <col min="3332" max="3332" width="23.5703125" style="214" customWidth="1"/>
    <col min="3333" max="3333" width="17.28515625" style="214" customWidth="1"/>
    <col min="3334" max="3334" width="20.5703125" style="214" bestFit="1" customWidth="1"/>
    <col min="3335" max="3335" width="17.140625" style="214" customWidth="1"/>
    <col min="3336" max="3336" width="21.85546875" style="214" bestFit="1" customWidth="1"/>
    <col min="3337" max="3337" width="17.140625" style="214" bestFit="1" customWidth="1"/>
    <col min="3338" max="3338" width="18.140625" style="214" bestFit="1" customWidth="1"/>
    <col min="3339" max="3339" width="26.42578125" style="214" customWidth="1"/>
    <col min="3340" max="3584" width="9.140625" style="214"/>
    <col min="3585" max="3585" width="8.7109375" style="214" bestFit="1" customWidth="1"/>
    <col min="3586" max="3586" width="13.28515625" style="214" customWidth="1"/>
    <col min="3587" max="3587" width="16.140625" style="214" bestFit="1" customWidth="1"/>
    <col min="3588" max="3588" width="23.5703125" style="214" customWidth="1"/>
    <col min="3589" max="3589" width="17.28515625" style="214" customWidth="1"/>
    <col min="3590" max="3590" width="20.5703125" style="214" bestFit="1" customWidth="1"/>
    <col min="3591" max="3591" width="17.140625" style="214" customWidth="1"/>
    <col min="3592" max="3592" width="21.85546875" style="214" bestFit="1" customWidth="1"/>
    <col min="3593" max="3593" width="17.140625" style="214" bestFit="1" customWidth="1"/>
    <col min="3594" max="3594" width="18.140625" style="214" bestFit="1" customWidth="1"/>
    <col min="3595" max="3595" width="26.42578125" style="214" customWidth="1"/>
    <col min="3596" max="3840" width="9.140625" style="214"/>
    <col min="3841" max="3841" width="8.7109375" style="214" bestFit="1" customWidth="1"/>
    <col min="3842" max="3842" width="13.28515625" style="214" customWidth="1"/>
    <col min="3843" max="3843" width="16.140625" style="214" bestFit="1" customWidth="1"/>
    <col min="3844" max="3844" width="23.5703125" style="214" customWidth="1"/>
    <col min="3845" max="3845" width="17.28515625" style="214" customWidth="1"/>
    <col min="3846" max="3846" width="20.5703125" style="214" bestFit="1" customWidth="1"/>
    <col min="3847" max="3847" width="17.140625" style="214" customWidth="1"/>
    <col min="3848" max="3848" width="21.85546875" style="214" bestFit="1" customWidth="1"/>
    <col min="3849" max="3849" width="17.140625" style="214" bestFit="1" customWidth="1"/>
    <col min="3850" max="3850" width="18.140625" style="214" bestFit="1" customWidth="1"/>
    <col min="3851" max="3851" width="26.42578125" style="214" customWidth="1"/>
    <col min="3852" max="4096" width="9.140625" style="214"/>
    <col min="4097" max="4097" width="8.7109375" style="214" bestFit="1" customWidth="1"/>
    <col min="4098" max="4098" width="13.28515625" style="214" customWidth="1"/>
    <col min="4099" max="4099" width="16.140625" style="214" bestFit="1" customWidth="1"/>
    <col min="4100" max="4100" width="23.5703125" style="214" customWidth="1"/>
    <col min="4101" max="4101" width="17.28515625" style="214" customWidth="1"/>
    <col min="4102" max="4102" width="20.5703125" style="214" bestFit="1" customWidth="1"/>
    <col min="4103" max="4103" width="17.140625" style="214" customWidth="1"/>
    <col min="4104" max="4104" width="21.85546875" style="214" bestFit="1" customWidth="1"/>
    <col min="4105" max="4105" width="17.140625" style="214" bestFit="1" customWidth="1"/>
    <col min="4106" max="4106" width="18.140625" style="214" bestFit="1" customWidth="1"/>
    <col min="4107" max="4107" width="26.42578125" style="214" customWidth="1"/>
    <col min="4108" max="4352" width="9.140625" style="214"/>
    <col min="4353" max="4353" width="8.7109375" style="214" bestFit="1" customWidth="1"/>
    <col min="4354" max="4354" width="13.28515625" style="214" customWidth="1"/>
    <col min="4355" max="4355" width="16.140625" style="214" bestFit="1" customWidth="1"/>
    <col min="4356" max="4356" width="23.5703125" style="214" customWidth="1"/>
    <col min="4357" max="4357" width="17.28515625" style="214" customWidth="1"/>
    <col min="4358" max="4358" width="20.5703125" style="214" bestFit="1" customWidth="1"/>
    <col min="4359" max="4359" width="17.140625" style="214" customWidth="1"/>
    <col min="4360" max="4360" width="21.85546875" style="214" bestFit="1" customWidth="1"/>
    <col min="4361" max="4361" width="17.140625" style="214" bestFit="1" customWidth="1"/>
    <col min="4362" max="4362" width="18.140625" style="214" bestFit="1" customWidth="1"/>
    <col min="4363" max="4363" width="26.42578125" style="214" customWidth="1"/>
    <col min="4364" max="4608" width="9.140625" style="214"/>
    <col min="4609" max="4609" width="8.7109375" style="214" bestFit="1" customWidth="1"/>
    <col min="4610" max="4610" width="13.28515625" style="214" customWidth="1"/>
    <col min="4611" max="4611" width="16.140625" style="214" bestFit="1" customWidth="1"/>
    <col min="4612" max="4612" width="23.5703125" style="214" customWidth="1"/>
    <col min="4613" max="4613" width="17.28515625" style="214" customWidth="1"/>
    <col min="4614" max="4614" width="20.5703125" style="214" bestFit="1" customWidth="1"/>
    <col min="4615" max="4615" width="17.140625" style="214" customWidth="1"/>
    <col min="4616" max="4616" width="21.85546875" style="214" bestFit="1" customWidth="1"/>
    <col min="4617" max="4617" width="17.140625" style="214" bestFit="1" customWidth="1"/>
    <col min="4618" max="4618" width="18.140625" style="214" bestFit="1" customWidth="1"/>
    <col min="4619" max="4619" width="26.42578125" style="214" customWidth="1"/>
    <col min="4620" max="4864" width="9.140625" style="214"/>
    <col min="4865" max="4865" width="8.7109375" style="214" bestFit="1" customWidth="1"/>
    <col min="4866" max="4866" width="13.28515625" style="214" customWidth="1"/>
    <col min="4867" max="4867" width="16.140625" style="214" bestFit="1" customWidth="1"/>
    <col min="4868" max="4868" width="23.5703125" style="214" customWidth="1"/>
    <col min="4869" max="4869" width="17.28515625" style="214" customWidth="1"/>
    <col min="4870" max="4870" width="20.5703125" style="214" bestFit="1" customWidth="1"/>
    <col min="4871" max="4871" width="17.140625" style="214" customWidth="1"/>
    <col min="4872" max="4872" width="21.85546875" style="214" bestFit="1" customWidth="1"/>
    <col min="4873" max="4873" width="17.140625" style="214" bestFit="1" customWidth="1"/>
    <col min="4874" max="4874" width="18.140625" style="214" bestFit="1" customWidth="1"/>
    <col min="4875" max="4875" width="26.42578125" style="214" customWidth="1"/>
    <col min="4876" max="5120" width="9.140625" style="214"/>
    <col min="5121" max="5121" width="8.7109375" style="214" bestFit="1" customWidth="1"/>
    <col min="5122" max="5122" width="13.28515625" style="214" customWidth="1"/>
    <col min="5123" max="5123" width="16.140625" style="214" bestFit="1" customWidth="1"/>
    <col min="5124" max="5124" width="23.5703125" style="214" customWidth="1"/>
    <col min="5125" max="5125" width="17.28515625" style="214" customWidth="1"/>
    <col min="5126" max="5126" width="20.5703125" style="214" bestFit="1" customWidth="1"/>
    <col min="5127" max="5127" width="17.140625" style="214" customWidth="1"/>
    <col min="5128" max="5128" width="21.85546875" style="214" bestFit="1" customWidth="1"/>
    <col min="5129" max="5129" width="17.140625" style="214" bestFit="1" customWidth="1"/>
    <col min="5130" max="5130" width="18.140625" style="214" bestFit="1" customWidth="1"/>
    <col min="5131" max="5131" width="26.42578125" style="214" customWidth="1"/>
    <col min="5132" max="5376" width="9.140625" style="214"/>
    <col min="5377" max="5377" width="8.7109375" style="214" bestFit="1" customWidth="1"/>
    <col min="5378" max="5378" width="13.28515625" style="214" customWidth="1"/>
    <col min="5379" max="5379" width="16.140625" style="214" bestFit="1" customWidth="1"/>
    <col min="5380" max="5380" width="23.5703125" style="214" customWidth="1"/>
    <col min="5381" max="5381" width="17.28515625" style="214" customWidth="1"/>
    <col min="5382" max="5382" width="20.5703125" style="214" bestFit="1" customWidth="1"/>
    <col min="5383" max="5383" width="17.140625" style="214" customWidth="1"/>
    <col min="5384" max="5384" width="21.85546875" style="214" bestFit="1" customWidth="1"/>
    <col min="5385" max="5385" width="17.140625" style="214" bestFit="1" customWidth="1"/>
    <col min="5386" max="5386" width="18.140625" style="214" bestFit="1" customWidth="1"/>
    <col min="5387" max="5387" width="26.42578125" style="214" customWidth="1"/>
    <col min="5388" max="5632" width="9.140625" style="214"/>
    <col min="5633" max="5633" width="8.7109375" style="214" bestFit="1" customWidth="1"/>
    <col min="5634" max="5634" width="13.28515625" style="214" customWidth="1"/>
    <col min="5635" max="5635" width="16.140625" style="214" bestFit="1" customWidth="1"/>
    <col min="5636" max="5636" width="23.5703125" style="214" customWidth="1"/>
    <col min="5637" max="5637" width="17.28515625" style="214" customWidth="1"/>
    <col min="5638" max="5638" width="20.5703125" style="214" bestFit="1" customWidth="1"/>
    <col min="5639" max="5639" width="17.140625" style="214" customWidth="1"/>
    <col min="5640" max="5640" width="21.85546875" style="214" bestFit="1" customWidth="1"/>
    <col min="5641" max="5641" width="17.140625" style="214" bestFit="1" customWidth="1"/>
    <col min="5642" max="5642" width="18.140625" style="214" bestFit="1" customWidth="1"/>
    <col min="5643" max="5643" width="26.42578125" style="214" customWidth="1"/>
    <col min="5644" max="5888" width="9.140625" style="214"/>
    <col min="5889" max="5889" width="8.7109375" style="214" bestFit="1" customWidth="1"/>
    <col min="5890" max="5890" width="13.28515625" style="214" customWidth="1"/>
    <col min="5891" max="5891" width="16.140625" style="214" bestFit="1" customWidth="1"/>
    <col min="5892" max="5892" width="23.5703125" style="214" customWidth="1"/>
    <col min="5893" max="5893" width="17.28515625" style="214" customWidth="1"/>
    <col min="5894" max="5894" width="20.5703125" style="214" bestFit="1" customWidth="1"/>
    <col min="5895" max="5895" width="17.140625" style="214" customWidth="1"/>
    <col min="5896" max="5896" width="21.85546875" style="214" bestFit="1" customWidth="1"/>
    <col min="5897" max="5897" width="17.140625" style="214" bestFit="1" customWidth="1"/>
    <col min="5898" max="5898" width="18.140625" style="214" bestFit="1" customWidth="1"/>
    <col min="5899" max="5899" width="26.42578125" style="214" customWidth="1"/>
    <col min="5900" max="6144" width="9.140625" style="214"/>
    <col min="6145" max="6145" width="8.7109375" style="214" bestFit="1" customWidth="1"/>
    <col min="6146" max="6146" width="13.28515625" style="214" customWidth="1"/>
    <col min="6147" max="6147" width="16.140625" style="214" bestFit="1" customWidth="1"/>
    <col min="6148" max="6148" width="23.5703125" style="214" customWidth="1"/>
    <col min="6149" max="6149" width="17.28515625" style="214" customWidth="1"/>
    <col min="6150" max="6150" width="20.5703125" style="214" bestFit="1" customWidth="1"/>
    <col min="6151" max="6151" width="17.140625" style="214" customWidth="1"/>
    <col min="6152" max="6152" width="21.85546875" style="214" bestFit="1" customWidth="1"/>
    <col min="6153" max="6153" width="17.140625" style="214" bestFit="1" customWidth="1"/>
    <col min="6154" max="6154" width="18.140625" style="214" bestFit="1" customWidth="1"/>
    <col min="6155" max="6155" width="26.42578125" style="214" customWidth="1"/>
    <col min="6156" max="6400" width="9.140625" style="214"/>
    <col min="6401" max="6401" width="8.7109375" style="214" bestFit="1" customWidth="1"/>
    <col min="6402" max="6402" width="13.28515625" style="214" customWidth="1"/>
    <col min="6403" max="6403" width="16.140625" style="214" bestFit="1" customWidth="1"/>
    <col min="6404" max="6404" width="23.5703125" style="214" customWidth="1"/>
    <col min="6405" max="6405" width="17.28515625" style="214" customWidth="1"/>
    <col min="6406" max="6406" width="20.5703125" style="214" bestFit="1" customWidth="1"/>
    <col min="6407" max="6407" width="17.140625" style="214" customWidth="1"/>
    <col min="6408" max="6408" width="21.85546875" style="214" bestFit="1" customWidth="1"/>
    <col min="6409" max="6409" width="17.140625" style="214" bestFit="1" customWidth="1"/>
    <col min="6410" max="6410" width="18.140625" style="214" bestFit="1" customWidth="1"/>
    <col min="6411" max="6411" width="26.42578125" style="214" customWidth="1"/>
    <col min="6412" max="6656" width="9.140625" style="214"/>
    <col min="6657" max="6657" width="8.7109375" style="214" bestFit="1" customWidth="1"/>
    <col min="6658" max="6658" width="13.28515625" style="214" customWidth="1"/>
    <col min="6659" max="6659" width="16.140625" style="214" bestFit="1" customWidth="1"/>
    <col min="6660" max="6660" width="23.5703125" style="214" customWidth="1"/>
    <col min="6661" max="6661" width="17.28515625" style="214" customWidth="1"/>
    <col min="6662" max="6662" width="20.5703125" style="214" bestFit="1" customWidth="1"/>
    <col min="6663" max="6663" width="17.140625" style="214" customWidth="1"/>
    <col min="6664" max="6664" width="21.85546875" style="214" bestFit="1" customWidth="1"/>
    <col min="6665" max="6665" width="17.140625" style="214" bestFit="1" customWidth="1"/>
    <col min="6666" max="6666" width="18.140625" style="214" bestFit="1" customWidth="1"/>
    <col min="6667" max="6667" width="26.42578125" style="214" customWidth="1"/>
    <col min="6668" max="6912" width="9.140625" style="214"/>
    <col min="6913" max="6913" width="8.7109375" style="214" bestFit="1" customWidth="1"/>
    <col min="6914" max="6914" width="13.28515625" style="214" customWidth="1"/>
    <col min="6915" max="6915" width="16.140625" style="214" bestFit="1" customWidth="1"/>
    <col min="6916" max="6916" width="23.5703125" style="214" customWidth="1"/>
    <col min="6917" max="6917" width="17.28515625" style="214" customWidth="1"/>
    <col min="6918" max="6918" width="20.5703125" style="214" bestFit="1" customWidth="1"/>
    <col min="6919" max="6919" width="17.140625" style="214" customWidth="1"/>
    <col min="6920" max="6920" width="21.85546875" style="214" bestFit="1" customWidth="1"/>
    <col min="6921" max="6921" width="17.140625" style="214" bestFit="1" customWidth="1"/>
    <col min="6922" max="6922" width="18.140625" style="214" bestFit="1" customWidth="1"/>
    <col min="6923" max="6923" width="26.42578125" style="214" customWidth="1"/>
    <col min="6924" max="7168" width="9.140625" style="214"/>
    <col min="7169" max="7169" width="8.7109375" style="214" bestFit="1" customWidth="1"/>
    <col min="7170" max="7170" width="13.28515625" style="214" customWidth="1"/>
    <col min="7171" max="7171" width="16.140625" style="214" bestFit="1" customWidth="1"/>
    <col min="7172" max="7172" width="23.5703125" style="214" customWidth="1"/>
    <col min="7173" max="7173" width="17.28515625" style="214" customWidth="1"/>
    <col min="7174" max="7174" width="20.5703125" style="214" bestFit="1" customWidth="1"/>
    <col min="7175" max="7175" width="17.140625" style="214" customWidth="1"/>
    <col min="7176" max="7176" width="21.85546875" style="214" bestFit="1" customWidth="1"/>
    <col min="7177" max="7177" width="17.140625" style="214" bestFit="1" customWidth="1"/>
    <col min="7178" max="7178" width="18.140625" style="214" bestFit="1" customWidth="1"/>
    <col min="7179" max="7179" width="26.42578125" style="214" customWidth="1"/>
    <col min="7180" max="7424" width="9.140625" style="214"/>
    <col min="7425" max="7425" width="8.7109375" style="214" bestFit="1" customWidth="1"/>
    <col min="7426" max="7426" width="13.28515625" style="214" customWidth="1"/>
    <col min="7427" max="7427" width="16.140625" style="214" bestFit="1" customWidth="1"/>
    <col min="7428" max="7428" width="23.5703125" style="214" customWidth="1"/>
    <col min="7429" max="7429" width="17.28515625" style="214" customWidth="1"/>
    <col min="7430" max="7430" width="20.5703125" style="214" bestFit="1" customWidth="1"/>
    <col min="7431" max="7431" width="17.140625" style="214" customWidth="1"/>
    <col min="7432" max="7432" width="21.85546875" style="214" bestFit="1" customWidth="1"/>
    <col min="7433" max="7433" width="17.140625" style="214" bestFit="1" customWidth="1"/>
    <col min="7434" max="7434" width="18.140625" style="214" bestFit="1" customWidth="1"/>
    <col min="7435" max="7435" width="26.42578125" style="214" customWidth="1"/>
    <col min="7436" max="7680" width="9.140625" style="214"/>
    <col min="7681" max="7681" width="8.7109375" style="214" bestFit="1" customWidth="1"/>
    <col min="7682" max="7682" width="13.28515625" style="214" customWidth="1"/>
    <col min="7683" max="7683" width="16.140625" style="214" bestFit="1" customWidth="1"/>
    <col min="7684" max="7684" width="23.5703125" style="214" customWidth="1"/>
    <col min="7685" max="7685" width="17.28515625" style="214" customWidth="1"/>
    <col min="7686" max="7686" width="20.5703125" style="214" bestFit="1" customWidth="1"/>
    <col min="7687" max="7687" width="17.140625" style="214" customWidth="1"/>
    <col min="7688" max="7688" width="21.85546875" style="214" bestFit="1" customWidth="1"/>
    <col min="7689" max="7689" width="17.140625" style="214" bestFit="1" customWidth="1"/>
    <col min="7690" max="7690" width="18.140625" style="214" bestFit="1" customWidth="1"/>
    <col min="7691" max="7691" width="26.42578125" style="214" customWidth="1"/>
    <col min="7692" max="7936" width="9.140625" style="214"/>
    <col min="7937" max="7937" width="8.7109375" style="214" bestFit="1" customWidth="1"/>
    <col min="7938" max="7938" width="13.28515625" style="214" customWidth="1"/>
    <col min="7939" max="7939" width="16.140625" style="214" bestFit="1" customWidth="1"/>
    <col min="7940" max="7940" width="23.5703125" style="214" customWidth="1"/>
    <col min="7941" max="7941" width="17.28515625" style="214" customWidth="1"/>
    <col min="7942" max="7942" width="20.5703125" style="214" bestFit="1" customWidth="1"/>
    <col min="7943" max="7943" width="17.140625" style="214" customWidth="1"/>
    <col min="7944" max="7944" width="21.85546875" style="214" bestFit="1" customWidth="1"/>
    <col min="7945" max="7945" width="17.140625" style="214" bestFit="1" customWidth="1"/>
    <col min="7946" max="7946" width="18.140625" style="214" bestFit="1" customWidth="1"/>
    <col min="7947" max="7947" width="26.42578125" style="214" customWidth="1"/>
    <col min="7948" max="8192" width="9.140625" style="214"/>
    <col min="8193" max="8193" width="8.7109375" style="214" bestFit="1" customWidth="1"/>
    <col min="8194" max="8194" width="13.28515625" style="214" customWidth="1"/>
    <col min="8195" max="8195" width="16.140625" style="214" bestFit="1" customWidth="1"/>
    <col min="8196" max="8196" width="23.5703125" style="214" customWidth="1"/>
    <col min="8197" max="8197" width="17.28515625" style="214" customWidth="1"/>
    <col min="8198" max="8198" width="20.5703125" style="214" bestFit="1" customWidth="1"/>
    <col min="8199" max="8199" width="17.140625" style="214" customWidth="1"/>
    <col min="8200" max="8200" width="21.85546875" style="214" bestFit="1" customWidth="1"/>
    <col min="8201" max="8201" width="17.140625" style="214" bestFit="1" customWidth="1"/>
    <col min="8202" max="8202" width="18.140625" style="214" bestFit="1" customWidth="1"/>
    <col min="8203" max="8203" width="26.42578125" style="214" customWidth="1"/>
    <col min="8204" max="8448" width="9.140625" style="214"/>
    <col min="8449" max="8449" width="8.7109375" style="214" bestFit="1" customWidth="1"/>
    <col min="8450" max="8450" width="13.28515625" style="214" customWidth="1"/>
    <col min="8451" max="8451" width="16.140625" style="214" bestFit="1" customWidth="1"/>
    <col min="8452" max="8452" width="23.5703125" style="214" customWidth="1"/>
    <col min="8453" max="8453" width="17.28515625" style="214" customWidth="1"/>
    <col min="8454" max="8454" width="20.5703125" style="214" bestFit="1" customWidth="1"/>
    <col min="8455" max="8455" width="17.140625" style="214" customWidth="1"/>
    <col min="8456" max="8456" width="21.85546875" style="214" bestFit="1" customWidth="1"/>
    <col min="8457" max="8457" width="17.140625" style="214" bestFit="1" customWidth="1"/>
    <col min="8458" max="8458" width="18.140625" style="214" bestFit="1" customWidth="1"/>
    <col min="8459" max="8459" width="26.42578125" style="214" customWidth="1"/>
    <col min="8460" max="8704" width="9.140625" style="214"/>
    <col min="8705" max="8705" width="8.7109375" style="214" bestFit="1" customWidth="1"/>
    <col min="8706" max="8706" width="13.28515625" style="214" customWidth="1"/>
    <col min="8707" max="8707" width="16.140625" style="214" bestFit="1" customWidth="1"/>
    <col min="8708" max="8708" width="23.5703125" style="214" customWidth="1"/>
    <col min="8709" max="8709" width="17.28515625" style="214" customWidth="1"/>
    <col min="8710" max="8710" width="20.5703125" style="214" bestFit="1" customWidth="1"/>
    <col min="8711" max="8711" width="17.140625" style="214" customWidth="1"/>
    <col min="8712" max="8712" width="21.85546875" style="214" bestFit="1" customWidth="1"/>
    <col min="8713" max="8713" width="17.140625" style="214" bestFit="1" customWidth="1"/>
    <col min="8714" max="8714" width="18.140625" style="214" bestFit="1" customWidth="1"/>
    <col min="8715" max="8715" width="26.42578125" style="214" customWidth="1"/>
    <col min="8716" max="8960" width="9.140625" style="214"/>
    <col min="8961" max="8961" width="8.7109375" style="214" bestFit="1" customWidth="1"/>
    <col min="8962" max="8962" width="13.28515625" style="214" customWidth="1"/>
    <col min="8963" max="8963" width="16.140625" style="214" bestFit="1" customWidth="1"/>
    <col min="8964" max="8964" width="23.5703125" style="214" customWidth="1"/>
    <col min="8965" max="8965" width="17.28515625" style="214" customWidth="1"/>
    <col min="8966" max="8966" width="20.5703125" style="214" bestFit="1" customWidth="1"/>
    <col min="8967" max="8967" width="17.140625" style="214" customWidth="1"/>
    <col min="8968" max="8968" width="21.85546875" style="214" bestFit="1" customWidth="1"/>
    <col min="8969" max="8969" width="17.140625" style="214" bestFit="1" customWidth="1"/>
    <col min="8970" max="8970" width="18.140625" style="214" bestFit="1" customWidth="1"/>
    <col min="8971" max="8971" width="26.42578125" style="214" customWidth="1"/>
    <col min="8972" max="9216" width="9.140625" style="214"/>
    <col min="9217" max="9217" width="8.7109375" style="214" bestFit="1" customWidth="1"/>
    <col min="9218" max="9218" width="13.28515625" style="214" customWidth="1"/>
    <col min="9219" max="9219" width="16.140625" style="214" bestFit="1" customWidth="1"/>
    <col min="9220" max="9220" width="23.5703125" style="214" customWidth="1"/>
    <col min="9221" max="9221" width="17.28515625" style="214" customWidth="1"/>
    <col min="9222" max="9222" width="20.5703125" style="214" bestFit="1" customWidth="1"/>
    <col min="9223" max="9223" width="17.140625" style="214" customWidth="1"/>
    <col min="9224" max="9224" width="21.85546875" style="214" bestFit="1" customWidth="1"/>
    <col min="9225" max="9225" width="17.140625" style="214" bestFit="1" customWidth="1"/>
    <col min="9226" max="9226" width="18.140625" style="214" bestFit="1" customWidth="1"/>
    <col min="9227" max="9227" width="26.42578125" style="214" customWidth="1"/>
    <col min="9228" max="9472" width="9.140625" style="214"/>
    <col min="9473" max="9473" width="8.7109375" style="214" bestFit="1" customWidth="1"/>
    <col min="9474" max="9474" width="13.28515625" style="214" customWidth="1"/>
    <col min="9475" max="9475" width="16.140625" style="214" bestFit="1" customWidth="1"/>
    <col min="9476" max="9476" width="23.5703125" style="214" customWidth="1"/>
    <col min="9477" max="9477" width="17.28515625" style="214" customWidth="1"/>
    <col min="9478" max="9478" width="20.5703125" style="214" bestFit="1" customWidth="1"/>
    <col min="9479" max="9479" width="17.140625" style="214" customWidth="1"/>
    <col min="9480" max="9480" width="21.85546875" style="214" bestFit="1" customWidth="1"/>
    <col min="9481" max="9481" width="17.140625" style="214" bestFit="1" customWidth="1"/>
    <col min="9482" max="9482" width="18.140625" style="214" bestFit="1" customWidth="1"/>
    <col min="9483" max="9483" width="26.42578125" style="214" customWidth="1"/>
    <col min="9484" max="9728" width="9.140625" style="214"/>
    <col min="9729" max="9729" width="8.7109375" style="214" bestFit="1" customWidth="1"/>
    <col min="9730" max="9730" width="13.28515625" style="214" customWidth="1"/>
    <col min="9731" max="9731" width="16.140625" style="214" bestFit="1" customWidth="1"/>
    <col min="9732" max="9732" width="23.5703125" style="214" customWidth="1"/>
    <col min="9733" max="9733" width="17.28515625" style="214" customWidth="1"/>
    <col min="9734" max="9734" width="20.5703125" style="214" bestFit="1" customWidth="1"/>
    <col min="9735" max="9735" width="17.140625" style="214" customWidth="1"/>
    <col min="9736" max="9736" width="21.85546875" style="214" bestFit="1" customWidth="1"/>
    <col min="9737" max="9737" width="17.140625" style="214" bestFit="1" customWidth="1"/>
    <col min="9738" max="9738" width="18.140625" style="214" bestFit="1" customWidth="1"/>
    <col min="9739" max="9739" width="26.42578125" style="214" customWidth="1"/>
    <col min="9740" max="9984" width="9.140625" style="214"/>
    <col min="9985" max="9985" width="8.7109375" style="214" bestFit="1" customWidth="1"/>
    <col min="9986" max="9986" width="13.28515625" style="214" customWidth="1"/>
    <col min="9987" max="9987" width="16.140625" style="214" bestFit="1" customWidth="1"/>
    <col min="9988" max="9988" width="23.5703125" style="214" customWidth="1"/>
    <col min="9989" max="9989" width="17.28515625" style="214" customWidth="1"/>
    <col min="9990" max="9990" width="20.5703125" style="214" bestFit="1" customWidth="1"/>
    <col min="9991" max="9991" width="17.140625" style="214" customWidth="1"/>
    <col min="9992" max="9992" width="21.85546875" style="214" bestFit="1" customWidth="1"/>
    <col min="9993" max="9993" width="17.140625" style="214" bestFit="1" customWidth="1"/>
    <col min="9994" max="9994" width="18.140625" style="214" bestFit="1" customWidth="1"/>
    <col min="9995" max="9995" width="26.42578125" style="214" customWidth="1"/>
    <col min="9996" max="10240" width="9.140625" style="214"/>
    <col min="10241" max="10241" width="8.7109375" style="214" bestFit="1" customWidth="1"/>
    <col min="10242" max="10242" width="13.28515625" style="214" customWidth="1"/>
    <col min="10243" max="10243" width="16.140625" style="214" bestFit="1" customWidth="1"/>
    <col min="10244" max="10244" width="23.5703125" style="214" customWidth="1"/>
    <col min="10245" max="10245" width="17.28515625" style="214" customWidth="1"/>
    <col min="10246" max="10246" width="20.5703125" style="214" bestFit="1" customWidth="1"/>
    <col min="10247" max="10247" width="17.140625" style="214" customWidth="1"/>
    <col min="10248" max="10248" width="21.85546875" style="214" bestFit="1" customWidth="1"/>
    <col min="10249" max="10249" width="17.140625" style="214" bestFit="1" customWidth="1"/>
    <col min="10250" max="10250" width="18.140625" style="214" bestFit="1" customWidth="1"/>
    <col min="10251" max="10251" width="26.42578125" style="214" customWidth="1"/>
    <col min="10252" max="10496" width="9.140625" style="214"/>
    <col min="10497" max="10497" width="8.7109375" style="214" bestFit="1" customWidth="1"/>
    <col min="10498" max="10498" width="13.28515625" style="214" customWidth="1"/>
    <col min="10499" max="10499" width="16.140625" style="214" bestFit="1" customWidth="1"/>
    <col min="10500" max="10500" width="23.5703125" style="214" customWidth="1"/>
    <col min="10501" max="10501" width="17.28515625" style="214" customWidth="1"/>
    <col min="10502" max="10502" width="20.5703125" style="214" bestFit="1" customWidth="1"/>
    <col min="10503" max="10503" width="17.140625" style="214" customWidth="1"/>
    <col min="10504" max="10504" width="21.85546875" style="214" bestFit="1" customWidth="1"/>
    <col min="10505" max="10505" width="17.140625" style="214" bestFit="1" customWidth="1"/>
    <col min="10506" max="10506" width="18.140625" style="214" bestFit="1" customWidth="1"/>
    <col min="10507" max="10507" width="26.42578125" style="214" customWidth="1"/>
    <col min="10508" max="10752" width="9.140625" style="214"/>
    <col min="10753" max="10753" width="8.7109375" style="214" bestFit="1" customWidth="1"/>
    <col min="10754" max="10754" width="13.28515625" style="214" customWidth="1"/>
    <col min="10755" max="10755" width="16.140625" style="214" bestFit="1" customWidth="1"/>
    <col min="10756" max="10756" width="23.5703125" style="214" customWidth="1"/>
    <col min="10757" max="10757" width="17.28515625" style="214" customWidth="1"/>
    <col min="10758" max="10758" width="20.5703125" style="214" bestFit="1" customWidth="1"/>
    <col min="10759" max="10759" width="17.140625" style="214" customWidth="1"/>
    <col min="10760" max="10760" width="21.85546875" style="214" bestFit="1" customWidth="1"/>
    <col min="10761" max="10761" width="17.140625" style="214" bestFit="1" customWidth="1"/>
    <col min="10762" max="10762" width="18.140625" style="214" bestFit="1" customWidth="1"/>
    <col min="10763" max="10763" width="26.42578125" style="214" customWidth="1"/>
    <col min="10764" max="11008" width="9.140625" style="214"/>
    <col min="11009" max="11009" width="8.7109375" style="214" bestFit="1" customWidth="1"/>
    <col min="11010" max="11010" width="13.28515625" style="214" customWidth="1"/>
    <col min="11011" max="11011" width="16.140625" style="214" bestFit="1" customWidth="1"/>
    <col min="11012" max="11012" width="23.5703125" style="214" customWidth="1"/>
    <col min="11013" max="11013" width="17.28515625" style="214" customWidth="1"/>
    <col min="11014" max="11014" width="20.5703125" style="214" bestFit="1" customWidth="1"/>
    <col min="11015" max="11015" width="17.140625" style="214" customWidth="1"/>
    <col min="11016" max="11016" width="21.85546875" style="214" bestFit="1" customWidth="1"/>
    <col min="11017" max="11017" width="17.140625" style="214" bestFit="1" customWidth="1"/>
    <col min="11018" max="11018" width="18.140625" style="214" bestFit="1" customWidth="1"/>
    <col min="11019" max="11019" width="26.42578125" style="214" customWidth="1"/>
    <col min="11020" max="11264" width="9.140625" style="214"/>
    <col min="11265" max="11265" width="8.7109375" style="214" bestFit="1" customWidth="1"/>
    <col min="11266" max="11266" width="13.28515625" style="214" customWidth="1"/>
    <col min="11267" max="11267" width="16.140625" style="214" bestFit="1" customWidth="1"/>
    <col min="11268" max="11268" width="23.5703125" style="214" customWidth="1"/>
    <col min="11269" max="11269" width="17.28515625" style="214" customWidth="1"/>
    <col min="11270" max="11270" width="20.5703125" style="214" bestFit="1" customWidth="1"/>
    <col min="11271" max="11271" width="17.140625" style="214" customWidth="1"/>
    <col min="11272" max="11272" width="21.85546875" style="214" bestFit="1" customWidth="1"/>
    <col min="11273" max="11273" width="17.140625" style="214" bestFit="1" customWidth="1"/>
    <col min="11274" max="11274" width="18.140625" style="214" bestFit="1" customWidth="1"/>
    <col min="11275" max="11275" width="26.42578125" style="214" customWidth="1"/>
    <col min="11276" max="11520" width="9.140625" style="214"/>
    <col min="11521" max="11521" width="8.7109375" style="214" bestFit="1" customWidth="1"/>
    <col min="11522" max="11522" width="13.28515625" style="214" customWidth="1"/>
    <col min="11523" max="11523" width="16.140625" style="214" bestFit="1" customWidth="1"/>
    <col min="11524" max="11524" width="23.5703125" style="214" customWidth="1"/>
    <col min="11525" max="11525" width="17.28515625" style="214" customWidth="1"/>
    <col min="11526" max="11526" width="20.5703125" style="214" bestFit="1" customWidth="1"/>
    <col min="11527" max="11527" width="17.140625" style="214" customWidth="1"/>
    <col min="11528" max="11528" width="21.85546875" style="214" bestFit="1" customWidth="1"/>
    <col min="11529" max="11529" width="17.140625" style="214" bestFit="1" customWidth="1"/>
    <col min="11530" max="11530" width="18.140625" style="214" bestFit="1" customWidth="1"/>
    <col min="11531" max="11531" width="26.42578125" style="214" customWidth="1"/>
    <col min="11532" max="11776" width="9.140625" style="214"/>
    <col min="11777" max="11777" width="8.7109375" style="214" bestFit="1" customWidth="1"/>
    <col min="11778" max="11778" width="13.28515625" style="214" customWidth="1"/>
    <col min="11779" max="11779" width="16.140625" style="214" bestFit="1" customWidth="1"/>
    <col min="11780" max="11780" width="23.5703125" style="214" customWidth="1"/>
    <col min="11781" max="11781" width="17.28515625" style="214" customWidth="1"/>
    <col min="11782" max="11782" width="20.5703125" style="214" bestFit="1" customWidth="1"/>
    <col min="11783" max="11783" width="17.140625" style="214" customWidth="1"/>
    <col min="11784" max="11784" width="21.85546875" style="214" bestFit="1" customWidth="1"/>
    <col min="11785" max="11785" width="17.140625" style="214" bestFit="1" customWidth="1"/>
    <col min="11786" max="11786" width="18.140625" style="214" bestFit="1" customWidth="1"/>
    <col min="11787" max="11787" width="26.42578125" style="214" customWidth="1"/>
    <col min="11788" max="12032" width="9.140625" style="214"/>
    <col min="12033" max="12033" width="8.7109375" style="214" bestFit="1" customWidth="1"/>
    <col min="12034" max="12034" width="13.28515625" style="214" customWidth="1"/>
    <col min="12035" max="12035" width="16.140625" style="214" bestFit="1" customWidth="1"/>
    <col min="12036" max="12036" width="23.5703125" style="214" customWidth="1"/>
    <col min="12037" max="12037" width="17.28515625" style="214" customWidth="1"/>
    <col min="12038" max="12038" width="20.5703125" style="214" bestFit="1" customWidth="1"/>
    <col min="12039" max="12039" width="17.140625" style="214" customWidth="1"/>
    <col min="12040" max="12040" width="21.85546875" style="214" bestFit="1" customWidth="1"/>
    <col min="12041" max="12041" width="17.140625" style="214" bestFit="1" customWidth="1"/>
    <col min="12042" max="12042" width="18.140625" style="214" bestFit="1" customWidth="1"/>
    <col min="12043" max="12043" width="26.42578125" style="214" customWidth="1"/>
    <col min="12044" max="12288" width="9.140625" style="214"/>
    <col min="12289" max="12289" width="8.7109375" style="214" bestFit="1" customWidth="1"/>
    <col min="12290" max="12290" width="13.28515625" style="214" customWidth="1"/>
    <col min="12291" max="12291" width="16.140625" style="214" bestFit="1" customWidth="1"/>
    <col min="12292" max="12292" width="23.5703125" style="214" customWidth="1"/>
    <col min="12293" max="12293" width="17.28515625" style="214" customWidth="1"/>
    <col min="12294" max="12294" width="20.5703125" style="214" bestFit="1" customWidth="1"/>
    <col min="12295" max="12295" width="17.140625" style="214" customWidth="1"/>
    <col min="12296" max="12296" width="21.85546875" style="214" bestFit="1" customWidth="1"/>
    <col min="12297" max="12297" width="17.140625" style="214" bestFit="1" customWidth="1"/>
    <col min="12298" max="12298" width="18.140625" style="214" bestFit="1" customWidth="1"/>
    <col min="12299" max="12299" width="26.42578125" style="214" customWidth="1"/>
    <col min="12300" max="12544" width="9.140625" style="214"/>
    <col min="12545" max="12545" width="8.7109375" style="214" bestFit="1" customWidth="1"/>
    <col min="12546" max="12546" width="13.28515625" style="214" customWidth="1"/>
    <col min="12547" max="12547" width="16.140625" style="214" bestFit="1" customWidth="1"/>
    <col min="12548" max="12548" width="23.5703125" style="214" customWidth="1"/>
    <col min="12549" max="12549" width="17.28515625" style="214" customWidth="1"/>
    <col min="12550" max="12550" width="20.5703125" style="214" bestFit="1" customWidth="1"/>
    <col min="12551" max="12551" width="17.140625" style="214" customWidth="1"/>
    <col min="12552" max="12552" width="21.85546875" style="214" bestFit="1" customWidth="1"/>
    <col min="12553" max="12553" width="17.140625" style="214" bestFit="1" customWidth="1"/>
    <col min="12554" max="12554" width="18.140625" style="214" bestFit="1" customWidth="1"/>
    <col min="12555" max="12555" width="26.42578125" style="214" customWidth="1"/>
    <col min="12556" max="12800" width="9.140625" style="214"/>
    <col min="12801" max="12801" width="8.7109375" style="214" bestFit="1" customWidth="1"/>
    <col min="12802" max="12802" width="13.28515625" style="214" customWidth="1"/>
    <col min="12803" max="12803" width="16.140625" style="214" bestFit="1" customWidth="1"/>
    <col min="12804" max="12804" width="23.5703125" style="214" customWidth="1"/>
    <col min="12805" max="12805" width="17.28515625" style="214" customWidth="1"/>
    <col min="12806" max="12806" width="20.5703125" style="214" bestFit="1" customWidth="1"/>
    <col min="12807" max="12807" width="17.140625" style="214" customWidth="1"/>
    <col min="12808" max="12808" width="21.85546875" style="214" bestFit="1" customWidth="1"/>
    <col min="12809" max="12809" width="17.140625" style="214" bestFit="1" customWidth="1"/>
    <col min="12810" max="12810" width="18.140625" style="214" bestFit="1" customWidth="1"/>
    <col min="12811" max="12811" width="26.42578125" style="214" customWidth="1"/>
    <col min="12812" max="13056" width="9.140625" style="214"/>
    <col min="13057" max="13057" width="8.7109375" style="214" bestFit="1" customWidth="1"/>
    <col min="13058" max="13058" width="13.28515625" style="214" customWidth="1"/>
    <col min="13059" max="13059" width="16.140625" style="214" bestFit="1" customWidth="1"/>
    <col min="13060" max="13060" width="23.5703125" style="214" customWidth="1"/>
    <col min="13061" max="13061" width="17.28515625" style="214" customWidth="1"/>
    <col min="13062" max="13062" width="20.5703125" style="214" bestFit="1" customWidth="1"/>
    <col min="13063" max="13063" width="17.140625" style="214" customWidth="1"/>
    <col min="13064" max="13064" width="21.85546875" style="214" bestFit="1" customWidth="1"/>
    <col min="13065" max="13065" width="17.140625" style="214" bestFit="1" customWidth="1"/>
    <col min="13066" max="13066" width="18.140625" style="214" bestFit="1" customWidth="1"/>
    <col min="13067" max="13067" width="26.42578125" style="214" customWidth="1"/>
    <col min="13068" max="13312" width="9.140625" style="214"/>
    <col min="13313" max="13313" width="8.7109375" style="214" bestFit="1" customWidth="1"/>
    <col min="13314" max="13314" width="13.28515625" style="214" customWidth="1"/>
    <col min="13315" max="13315" width="16.140625" style="214" bestFit="1" customWidth="1"/>
    <col min="13316" max="13316" width="23.5703125" style="214" customWidth="1"/>
    <col min="13317" max="13317" width="17.28515625" style="214" customWidth="1"/>
    <col min="13318" max="13318" width="20.5703125" style="214" bestFit="1" customWidth="1"/>
    <col min="13319" max="13319" width="17.140625" style="214" customWidth="1"/>
    <col min="13320" max="13320" width="21.85546875" style="214" bestFit="1" customWidth="1"/>
    <col min="13321" max="13321" width="17.140625" style="214" bestFit="1" customWidth="1"/>
    <col min="13322" max="13322" width="18.140625" style="214" bestFit="1" customWidth="1"/>
    <col min="13323" max="13323" width="26.42578125" style="214" customWidth="1"/>
    <col min="13324" max="13568" width="9.140625" style="214"/>
    <col min="13569" max="13569" width="8.7109375" style="214" bestFit="1" customWidth="1"/>
    <col min="13570" max="13570" width="13.28515625" style="214" customWidth="1"/>
    <col min="13571" max="13571" width="16.140625" style="214" bestFit="1" customWidth="1"/>
    <col min="13572" max="13572" width="23.5703125" style="214" customWidth="1"/>
    <col min="13573" max="13573" width="17.28515625" style="214" customWidth="1"/>
    <col min="13574" max="13574" width="20.5703125" style="214" bestFit="1" customWidth="1"/>
    <col min="13575" max="13575" width="17.140625" style="214" customWidth="1"/>
    <col min="13576" max="13576" width="21.85546875" style="214" bestFit="1" customWidth="1"/>
    <col min="13577" max="13577" width="17.140625" style="214" bestFit="1" customWidth="1"/>
    <col min="13578" max="13578" width="18.140625" style="214" bestFit="1" customWidth="1"/>
    <col min="13579" max="13579" width="26.42578125" style="214" customWidth="1"/>
    <col min="13580" max="13824" width="9.140625" style="214"/>
    <col min="13825" max="13825" width="8.7109375" style="214" bestFit="1" customWidth="1"/>
    <col min="13826" max="13826" width="13.28515625" style="214" customWidth="1"/>
    <col min="13827" max="13827" width="16.140625" style="214" bestFit="1" customWidth="1"/>
    <col min="13828" max="13828" width="23.5703125" style="214" customWidth="1"/>
    <col min="13829" max="13829" width="17.28515625" style="214" customWidth="1"/>
    <col min="13830" max="13830" width="20.5703125" style="214" bestFit="1" customWidth="1"/>
    <col min="13831" max="13831" width="17.140625" style="214" customWidth="1"/>
    <col min="13832" max="13832" width="21.85546875" style="214" bestFit="1" customWidth="1"/>
    <col min="13833" max="13833" width="17.140625" style="214" bestFit="1" customWidth="1"/>
    <col min="13834" max="13834" width="18.140625" style="214" bestFit="1" customWidth="1"/>
    <col min="13835" max="13835" width="26.42578125" style="214" customWidth="1"/>
    <col min="13836" max="14080" width="9.140625" style="214"/>
    <col min="14081" max="14081" width="8.7109375" style="214" bestFit="1" customWidth="1"/>
    <col min="14082" max="14082" width="13.28515625" style="214" customWidth="1"/>
    <col min="14083" max="14083" width="16.140625" style="214" bestFit="1" customWidth="1"/>
    <col min="14084" max="14084" width="23.5703125" style="214" customWidth="1"/>
    <col min="14085" max="14085" width="17.28515625" style="214" customWidth="1"/>
    <col min="14086" max="14086" width="20.5703125" style="214" bestFit="1" customWidth="1"/>
    <col min="14087" max="14087" width="17.140625" style="214" customWidth="1"/>
    <col min="14088" max="14088" width="21.85546875" style="214" bestFit="1" customWidth="1"/>
    <col min="14089" max="14089" width="17.140625" style="214" bestFit="1" customWidth="1"/>
    <col min="14090" max="14090" width="18.140625" style="214" bestFit="1" customWidth="1"/>
    <col min="14091" max="14091" width="26.42578125" style="214" customWidth="1"/>
    <col min="14092" max="14336" width="9.140625" style="214"/>
    <col min="14337" max="14337" width="8.7109375" style="214" bestFit="1" customWidth="1"/>
    <col min="14338" max="14338" width="13.28515625" style="214" customWidth="1"/>
    <col min="14339" max="14339" width="16.140625" style="214" bestFit="1" customWidth="1"/>
    <col min="14340" max="14340" width="23.5703125" style="214" customWidth="1"/>
    <col min="14341" max="14341" width="17.28515625" style="214" customWidth="1"/>
    <col min="14342" max="14342" width="20.5703125" style="214" bestFit="1" customWidth="1"/>
    <col min="14343" max="14343" width="17.140625" style="214" customWidth="1"/>
    <col min="14344" max="14344" width="21.85546875" style="214" bestFit="1" customWidth="1"/>
    <col min="14345" max="14345" width="17.140625" style="214" bestFit="1" customWidth="1"/>
    <col min="14346" max="14346" width="18.140625" style="214" bestFit="1" customWidth="1"/>
    <col min="14347" max="14347" width="26.42578125" style="214" customWidth="1"/>
    <col min="14348" max="14592" width="9.140625" style="214"/>
    <col min="14593" max="14593" width="8.7109375" style="214" bestFit="1" customWidth="1"/>
    <col min="14594" max="14594" width="13.28515625" style="214" customWidth="1"/>
    <col min="14595" max="14595" width="16.140625" style="214" bestFit="1" customWidth="1"/>
    <col min="14596" max="14596" width="23.5703125" style="214" customWidth="1"/>
    <col min="14597" max="14597" width="17.28515625" style="214" customWidth="1"/>
    <col min="14598" max="14598" width="20.5703125" style="214" bestFit="1" customWidth="1"/>
    <col min="14599" max="14599" width="17.140625" style="214" customWidth="1"/>
    <col min="14600" max="14600" width="21.85546875" style="214" bestFit="1" customWidth="1"/>
    <col min="14601" max="14601" width="17.140625" style="214" bestFit="1" customWidth="1"/>
    <col min="14602" max="14602" width="18.140625" style="214" bestFit="1" customWidth="1"/>
    <col min="14603" max="14603" width="26.42578125" style="214" customWidth="1"/>
    <col min="14604" max="14848" width="9.140625" style="214"/>
    <col min="14849" max="14849" width="8.7109375" style="214" bestFit="1" customWidth="1"/>
    <col min="14850" max="14850" width="13.28515625" style="214" customWidth="1"/>
    <col min="14851" max="14851" width="16.140625" style="214" bestFit="1" customWidth="1"/>
    <col min="14852" max="14852" width="23.5703125" style="214" customWidth="1"/>
    <col min="14853" max="14853" width="17.28515625" style="214" customWidth="1"/>
    <col min="14854" max="14854" width="20.5703125" style="214" bestFit="1" customWidth="1"/>
    <col min="14855" max="14855" width="17.140625" style="214" customWidth="1"/>
    <col min="14856" max="14856" width="21.85546875" style="214" bestFit="1" customWidth="1"/>
    <col min="14857" max="14857" width="17.140625" style="214" bestFit="1" customWidth="1"/>
    <col min="14858" max="14858" width="18.140625" style="214" bestFit="1" customWidth="1"/>
    <col min="14859" max="14859" width="26.42578125" style="214" customWidth="1"/>
    <col min="14860" max="15104" width="9.140625" style="214"/>
    <col min="15105" max="15105" width="8.7109375" style="214" bestFit="1" customWidth="1"/>
    <col min="15106" max="15106" width="13.28515625" style="214" customWidth="1"/>
    <col min="15107" max="15107" width="16.140625" style="214" bestFit="1" customWidth="1"/>
    <col min="15108" max="15108" width="23.5703125" style="214" customWidth="1"/>
    <col min="15109" max="15109" width="17.28515625" style="214" customWidth="1"/>
    <col min="15110" max="15110" width="20.5703125" style="214" bestFit="1" customWidth="1"/>
    <col min="15111" max="15111" width="17.140625" style="214" customWidth="1"/>
    <col min="15112" max="15112" width="21.85546875" style="214" bestFit="1" customWidth="1"/>
    <col min="15113" max="15113" width="17.140625" style="214" bestFit="1" customWidth="1"/>
    <col min="15114" max="15114" width="18.140625" style="214" bestFit="1" customWidth="1"/>
    <col min="15115" max="15115" width="26.42578125" style="214" customWidth="1"/>
    <col min="15116" max="15360" width="9.140625" style="214"/>
    <col min="15361" max="15361" width="8.7109375" style="214" bestFit="1" customWidth="1"/>
    <col min="15362" max="15362" width="13.28515625" style="214" customWidth="1"/>
    <col min="15363" max="15363" width="16.140625" style="214" bestFit="1" customWidth="1"/>
    <col min="15364" max="15364" width="23.5703125" style="214" customWidth="1"/>
    <col min="15365" max="15365" width="17.28515625" style="214" customWidth="1"/>
    <col min="15366" max="15366" width="20.5703125" style="214" bestFit="1" customWidth="1"/>
    <col min="15367" max="15367" width="17.140625" style="214" customWidth="1"/>
    <col min="15368" max="15368" width="21.85546875" style="214" bestFit="1" customWidth="1"/>
    <col min="15369" max="15369" width="17.140625" style="214" bestFit="1" customWidth="1"/>
    <col min="15370" max="15370" width="18.140625" style="214" bestFit="1" customWidth="1"/>
    <col min="15371" max="15371" width="26.42578125" style="214" customWidth="1"/>
    <col min="15372" max="15616" width="9.140625" style="214"/>
    <col min="15617" max="15617" width="8.7109375" style="214" bestFit="1" customWidth="1"/>
    <col min="15618" max="15618" width="13.28515625" style="214" customWidth="1"/>
    <col min="15619" max="15619" width="16.140625" style="214" bestFit="1" customWidth="1"/>
    <col min="15620" max="15620" width="23.5703125" style="214" customWidth="1"/>
    <col min="15621" max="15621" width="17.28515625" style="214" customWidth="1"/>
    <col min="15622" max="15622" width="20.5703125" style="214" bestFit="1" customWidth="1"/>
    <col min="15623" max="15623" width="17.140625" style="214" customWidth="1"/>
    <col min="15624" max="15624" width="21.85546875" style="214" bestFit="1" customWidth="1"/>
    <col min="15625" max="15625" width="17.140625" style="214" bestFit="1" customWidth="1"/>
    <col min="15626" max="15626" width="18.140625" style="214" bestFit="1" customWidth="1"/>
    <col min="15627" max="15627" width="26.42578125" style="214" customWidth="1"/>
    <col min="15628" max="15872" width="9.140625" style="214"/>
    <col min="15873" max="15873" width="8.7109375" style="214" bestFit="1" customWidth="1"/>
    <col min="15874" max="15874" width="13.28515625" style="214" customWidth="1"/>
    <col min="15875" max="15875" width="16.140625" style="214" bestFit="1" customWidth="1"/>
    <col min="15876" max="15876" width="23.5703125" style="214" customWidth="1"/>
    <col min="15877" max="15877" width="17.28515625" style="214" customWidth="1"/>
    <col min="15878" max="15878" width="20.5703125" style="214" bestFit="1" customWidth="1"/>
    <col min="15879" max="15879" width="17.140625" style="214" customWidth="1"/>
    <col min="15880" max="15880" width="21.85546875" style="214" bestFit="1" customWidth="1"/>
    <col min="15881" max="15881" width="17.140625" style="214" bestFit="1" customWidth="1"/>
    <col min="15882" max="15882" width="18.140625" style="214" bestFit="1" customWidth="1"/>
    <col min="15883" max="15883" width="26.42578125" style="214" customWidth="1"/>
    <col min="15884" max="16128" width="9.140625" style="214"/>
    <col min="16129" max="16129" width="8.7109375" style="214" bestFit="1" customWidth="1"/>
    <col min="16130" max="16130" width="13.28515625" style="214" customWidth="1"/>
    <col min="16131" max="16131" width="16.140625" style="214" bestFit="1" customWidth="1"/>
    <col min="16132" max="16132" width="23.5703125" style="214" customWidth="1"/>
    <col min="16133" max="16133" width="17.28515625" style="214" customWidth="1"/>
    <col min="16134" max="16134" width="20.5703125" style="214" bestFit="1" customWidth="1"/>
    <col min="16135" max="16135" width="17.140625" style="214" customWidth="1"/>
    <col min="16136" max="16136" width="21.85546875" style="214" bestFit="1" customWidth="1"/>
    <col min="16137" max="16137" width="17.140625" style="214" bestFit="1" customWidth="1"/>
    <col min="16138" max="16138" width="18.140625" style="214" bestFit="1" customWidth="1"/>
    <col min="16139" max="16139" width="26.42578125" style="214" customWidth="1"/>
    <col min="16140" max="16384" width="9.140625" style="214"/>
  </cols>
  <sheetData>
    <row r="1" spans="13:13" s="248" customFormat="1" x14ac:dyDescent="0.2">
      <c r="M1" s="249"/>
    </row>
    <row r="2" spans="13:13" s="248" customFormat="1" x14ac:dyDescent="0.2">
      <c r="M2" s="249"/>
    </row>
    <row r="3" spans="13:13" s="248" customFormat="1" x14ac:dyDescent="0.2">
      <c r="M3" s="249"/>
    </row>
    <row r="4" spans="13:13" s="248" customFormat="1" x14ac:dyDescent="0.2">
      <c r="M4" s="249"/>
    </row>
    <row r="5" spans="13:13" s="248" customFormat="1" x14ac:dyDescent="0.2">
      <c r="M5" s="249"/>
    </row>
    <row r="6" spans="13:13" s="248" customFormat="1" x14ac:dyDescent="0.2">
      <c r="M6" s="249"/>
    </row>
    <row r="7" spans="13:13" s="248" customFormat="1" x14ac:dyDescent="0.2">
      <c r="M7" s="249"/>
    </row>
    <row r="8" spans="13:13" s="248" customFormat="1" x14ac:dyDescent="0.2">
      <c r="M8" s="249"/>
    </row>
    <row r="9" spans="13:13" s="248" customFormat="1" x14ac:dyDescent="0.2">
      <c r="M9" s="249"/>
    </row>
    <row r="10" spans="13:13" s="248" customFormat="1" x14ac:dyDescent="0.2">
      <c r="M10" s="249"/>
    </row>
    <row r="11" spans="13:13" s="248" customFormat="1" x14ac:dyDescent="0.2">
      <c r="M11" s="249"/>
    </row>
    <row r="12" spans="13:13" s="248" customFormat="1" x14ac:dyDescent="0.2">
      <c r="M12" s="249"/>
    </row>
    <row r="13" spans="13:13" s="248" customFormat="1" x14ac:dyDescent="0.2">
      <c r="M13" s="249"/>
    </row>
    <row r="14" spans="13:13" s="248" customFormat="1" x14ac:dyDescent="0.2">
      <c r="M14" s="249"/>
    </row>
    <row r="15" spans="13:13" s="248" customFormat="1" x14ac:dyDescent="0.2">
      <c r="M15" s="249"/>
    </row>
    <row r="16" spans="13:13" s="248" customFormat="1" x14ac:dyDescent="0.2">
      <c r="M16" s="249"/>
    </row>
    <row r="17" spans="13:13" s="248" customFormat="1" x14ac:dyDescent="0.2">
      <c r="M17" s="249"/>
    </row>
    <row r="18" spans="13:13" s="248" customFormat="1" x14ac:dyDescent="0.2">
      <c r="M18" s="249"/>
    </row>
    <row r="19" spans="13:13" s="248" customFormat="1" x14ac:dyDescent="0.2">
      <c r="M19" s="249"/>
    </row>
    <row r="20" spans="13:13" s="248" customFormat="1" x14ac:dyDescent="0.2">
      <c r="M20" s="249"/>
    </row>
    <row r="21" spans="13:13" s="248" customFormat="1" x14ac:dyDescent="0.2">
      <c r="M21" s="249"/>
    </row>
    <row r="22" spans="13:13" s="248" customFormat="1" x14ac:dyDescent="0.2">
      <c r="M22" s="249"/>
    </row>
    <row r="23" spans="13:13" s="248" customFormat="1" x14ac:dyDescent="0.2">
      <c r="M23" s="249"/>
    </row>
    <row r="24" spans="13:13" s="248" customFormat="1" x14ac:dyDescent="0.2">
      <c r="M24" s="249"/>
    </row>
    <row r="25" spans="13:13" s="248" customFormat="1" x14ac:dyDescent="0.2">
      <c r="M25" s="249"/>
    </row>
    <row r="26" spans="13:13" s="248" customFormat="1" x14ac:dyDescent="0.2">
      <c r="M26" s="249"/>
    </row>
    <row r="27" spans="13:13" s="248" customFormat="1" x14ac:dyDescent="0.2">
      <c r="M27" s="249"/>
    </row>
    <row r="28" spans="13:13" s="248" customFormat="1" x14ac:dyDescent="0.2">
      <c r="M28" s="249"/>
    </row>
    <row r="29" spans="13:13" s="248" customFormat="1" x14ac:dyDescent="0.2">
      <c r="M29" s="249"/>
    </row>
    <row r="30" spans="13:13" s="248" customFormat="1" x14ac:dyDescent="0.2">
      <c r="M30" s="249"/>
    </row>
    <row r="31" spans="13:13" s="248" customFormat="1" x14ac:dyDescent="0.2">
      <c r="M31" s="249"/>
    </row>
    <row r="32" spans="13:13" s="248" customFormat="1" x14ac:dyDescent="0.2">
      <c r="M32" s="249"/>
    </row>
    <row r="33" spans="1:13" s="248" customFormat="1" x14ac:dyDescent="0.2">
      <c r="M33" s="249"/>
    </row>
    <row r="34" spans="1:13" s="248" customFormat="1" x14ac:dyDescent="0.2">
      <c r="M34" s="249"/>
    </row>
    <row r="35" spans="1:13" s="248" customFormat="1" x14ac:dyDescent="0.2">
      <c r="M35" s="249"/>
    </row>
    <row r="36" spans="1:13" s="248" customFormat="1" x14ac:dyDescent="0.2">
      <c r="M36" s="249"/>
    </row>
    <row r="37" spans="1:13" s="248" customFormat="1" ht="15.75" customHeight="1" x14ac:dyDescent="0.2">
      <c r="A37" s="248" t="s">
        <v>787</v>
      </c>
      <c r="I37" s="158" t="str">
        <f>IF(OR(SCH_MODE=3, SCH_MODE=4), "** Slave controller (CNTRL2) not shown **","** Tie VCCX to GND if not used **")</f>
        <v>** Tie VCCX to GND if not used **</v>
      </c>
    </row>
    <row r="38" spans="1:13" s="248" customFormat="1" ht="15.75" customHeight="1" x14ac:dyDescent="0.2">
      <c r="A38" s="248" t="s">
        <v>786</v>
      </c>
      <c r="I38" s="279" t="str">
        <f>IF(OR(SCH_MODE=3, SCH_MODE=4),"** Tie VCCX to GND if not used **", "")</f>
        <v/>
      </c>
    </row>
    <row r="39" spans="1:13" s="248" customFormat="1" ht="15.75" customHeight="1" x14ac:dyDescent="0.2">
      <c r="A39" s="248" t="s">
        <v>785</v>
      </c>
    </row>
    <row r="40" spans="1:13" s="248" customFormat="1" ht="15.75" customHeight="1" x14ac:dyDescent="0.2">
      <c r="A40" s="248" t="s">
        <v>788</v>
      </c>
    </row>
    <row r="41" spans="1:13" s="248" customFormat="1" ht="15.75" customHeight="1" x14ac:dyDescent="0.2">
      <c r="A41" s="248" t="s">
        <v>789</v>
      </c>
    </row>
    <row r="42" spans="1:13" s="248" customFormat="1" ht="24.75" customHeight="1" x14ac:dyDescent="0.2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20 V to 26 V, VOUT1 = 20 V, IOUT1 = 5A, VOUT2 = 20 V, IOUT2 = 5 A,  Fsw = 2000 kHz, Current Limit = 16 A</v>
      </c>
    </row>
    <row r="43" spans="1:13" ht="24.75" customHeight="1" thickBot="1" x14ac:dyDescent="0.25">
      <c r="A43" s="216" t="s">
        <v>755</v>
      </c>
    </row>
    <row r="44" spans="1:13" ht="18" customHeight="1" x14ac:dyDescent="0.2">
      <c r="A44" s="487" t="s">
        <v>254</v>
      </c>
      <c r="B44" s="488" t="s">
        <v>253</v>
      </c>
      <c r="C44" s="488" t="s">
        <v>7</v>
      </c>
      <c r="D44" s="690" t="s">
        <v>107</v>
      </c>
      <c r="E44" s="691"/>
      <c r="F44" s="691"/>
      <c r="G44" s="692"/>
      <c r="H44" s="489" t="s">
        <v>243</v>
      </c>
      <c r="I44" s="489" t="s">
        <v>159</v>
      </c>
      <c r="J44" s="489" t="s">
        <v>244</v>
      </c>
      <c r="L44" s="215"/>
      <c r="M44" s="214"/>
    </row>
    <row r="45" spans="1:13" s="221" customFormat="1" ht="15.75" customHeight="1" x14ac:dyDescent="0.2">
      <c r="A45" s="218">
        <v>2</v>
      </c>
      <c r="B45" s="219" t="s">
        <v>463</v>
      </c>
      <c r="C45" s="233">
        <v>0.1</v>
      </c>
      <c r="D45" s="710">
        <f t="shared" ref="D45:D56" si="0">C45</f>
        <v>0.1</v>
      </c>
      <c r="E45" s="711"/>
      <c r="F45" s="711"/>
      <c r="G45" s="234"/>
      <c r="H45" s="235" t="s">
        <v>248</v>
      </c>
      <c r="I45" s="220" t="s">
        <v>245</v>
      </c>
      <c r="J45" s="220" t="s">
        <v>245</v>
      </c>
      <c r="L45" s="222"/>
    </row>
    <row r="46" spans="1:13" s="221" customFormat="1" ht="15.75" x14ac:dyDescent="0.2">
      <c r="A46" s="217">
        <v>1</v>
      </c>
      <c r="B46" s="236" t="s">
        <v>249</v>
      </c>
      <c r="C46" s="244">
        <f>'Design Regulator'!D71</f>
        <v>0.33</v>
      </c>
      <c r="D46" s="712">
        <f t="shared" si="0"/>
        <v>0.33</v>
      </c>
      <c r="E46" s="713"/>
      <c r="F46" s="713"/>
      <c r="G46" s="238"/>
      <c r="H46" s="239" t="s">
        <v>248</v>
      </c>
      <c r="I46" s="240" t="s">
        <v>245</v>
      </c>
      <c r="J46" s="240" t="s">
        <v>245</v>
      </c>
      <c r="L46" s="222"/>
    </row>
    <row r="47" spans="1:13" s="221" customFormat="1" ht="15.75" x14ac:dyDescent="0.2">
      <c r="A47" s="217">
        <v>1</v>
      </c>
      <c r="B47" s="236" t="s">
        <v>250</v>
      </c>
      <c r="C47" s="237">
        <f>'Design Regulator'!D72</f>
        <v>0</v>
      </c>
      <c r="D47" s="714">
        <f t="shared" si="0"/>
        <v>0</v>
      </c>
      <c r="E47" s="715"/>
      <c r="F47" s="715"/>
      <c r="G47" s="238"/>
      <c r="H47" s="239" t="s">
        <v>248</v>
      </c>
      <c r="I47" s="240" t="s">
        <v>245</v>
      </c>
      <c r="J47" s="240" t="s">
        <v>245</v>
      </c>
      <c r="L47" s="222"/>
    </row>
    <row r="48" spans="1:13" s="221" customFormat="1" ht="15.75" x14ac:dyDescent="0.2">
      <c r="A48" s="217">
        <v>1</v>
      </c>
      <c r="B48" s="236" t="s">
        <v>770</v>
      </c>
      <c r="C48" s="244">
        <f>IF(MODE=1, 'Variable Management'!E354, "N/A")</f>
        <v>0.47000000000000003</v>
      </c>
      <c r="D48" s="712">
        <f t="shared" ref="D48:D49" si="1">C48</f>
        <v>0.47000000000000003</v>
      </c>
      <c r="E48" s="713"/>
      <c r="F48" s="713"/>
      <c r="G48" s="238"/>
      <c r="H48" s="239" t="str">
        <f>IF(MODE=1, "0603", "-")</f>
        <v>0603</v>
      </c>
      <c r="I48" s="239" t="str">
        <f>IF(MODE=1, "Std", "-")</f>
        <v>Std</v>
      </c>
      <c r="J48" s="239" t="str">
        <f>IF(MODE=1, "Std", "-")</f>
        <v>Std</v>
      </c>
      <c r="L48" s="222"/>
    </row>
    <row r="49" spans="1:12" s="221" customFormat="1" ht="15.75" x14ac:dyDescent="0.2">
      <c r="A49" s="217">
        <v>1</v>
      </c>
      <c r="B49" s="236" t="s">
        <v>771</v>
      </c>
      <c r="C49" s="237" t="str">
        <f>IF(MODE=1, 'Variable Management'!E355, "N/A")</f>
        <v>N/A</v>
      </c>
      <c r="D49" s="714" t="str">
        <f t="shared" si="1"/>
        <v>N/A</v>
      </c>
      <c r="E49" s="715"/>
      <c r="F49" s="715"/>
      <c r="G49" s="238"/>
      <c r="H49" s="239" t="str">
        <f>IF(MODE=1, "0603", "-")</f>
        <v>0603</v>
      </c>
      <c r="I49" s="239" t="str">
        <f>IF(MODE=1, "Std", "-")</f>
        <v>Std</v>
      </c>
      <c r="J49" s="239" t="str">
        <f>IF(MODE=1, "Std", "-")</f>
        <v>Std</v>
      </c>
      <c r="L49" s="222"/>
    </row>
    <row r="50" spans="1:12" s="221" customFormat="1" ht="15.75" x14ac:dyDescent="0.2">
      <c r="A50" s="223">
        <v>1</v>
      </c>
      <c r="B50" s="224" t="s">
        <v>769</v>
      </c>
      <c r="C50" s="438">
        <f>Cres_u*1000000000</f>
        <v>470</v>
      </c>
      <c r="D50" s="693">
        <f>C50</f>
        <v>470</v>
      </c>
      <c r="E50" s="694"/>
      <c r="F50" s="694"/>
      <c r="G50" s="439"/>
      <c r="H50" s="226" t="s">
        <v>248</v>
      </c>
      <c r="I50" s="227" t="s">
        <v>245</v>
      </c>
      <c r="J50" s="227" t="s">
        <v>245</v>
      </c>
      <c r="L50" s="222"/>
    </row>
    <row r="51" spans="1:12" s="221" customFormat="1" ht="15.75" x14ac:dyDescent="0.2">
      <c r="A51" s="223">
        <v>1</v>
      </c>
      <c r="B51" s="224" t="s">
        <v>462</v>
      </c>
      <c r="C51" s="438">
        <f>Cdither*1000000000</f>
        <v>10</v>
      </c>
      <c r="D51" s="693">
        <f>C51</f>
        <v>10</v>
      </c>
      <c r="E51" s="694"/>
      <c r="F51" s="694"/>
      <c r="G51" s="439"/>
      <c r="H51" s="226" t="s">
        <v>248</v>
      </c>
      <c r="I51" s="227" t="s">
        <v>245</v>
      </c>
      <c r="J51" s="227" t="s">
        <v>245</v>
      </c>
      <c r="L51" s="222"/>
    </row>
    <row r="52" spans="1:12" s="221" customFormat="1" ht="15.75" x14ac:dyDescent="0.2">
      <c r="A52" s="217">
        <f>ROUNDUP('Design Regulator'!E44/10,0)</f>
        <v>5</v>
      </c>
      <c r="B52" s="236" t="s">
        <v>251</v>
      </c>
      <c r="C52" s="243">
        <v>10</v>
      </c>
      <c r="D52" s="718">
        <f>C52</f>
        <v>10</v>
      </c>
      <c r="E52" s="719"/>
      <c r="F52" s="719"/>
      <c r="G52" s="238"/>
      <c r="H52" s="239">
        <v>1210</v>
      </c>
      <c r="I52" s="240" t="s">
        <v>245</v>
      </c>
      <c r="J52" s="240" t="s">
        <v>245</v>
      </c>
      <c r="L52" s="222"/>
    </row>
    <row r="53" spans="1:12" s="221" customFormat="1" ht="15.75" x14ac:dyDescent="0.2">
      <c r="A53" s="217">
        <f>ROUNDUP('Design Regulator'!E35/47,0)</f>
        <v>4</v>
      </c>
      <c r="B53" s="236" t="s">
        <v>252</v>
      </c>
      <c r="C53" s="243">
        <v>47</v>
      </c>
      <c r="D53" s="725">
        <f>C53</f>
        <v>47</v>
      </c>
      <c r="E53" s="726"/>
      <c r="F53" s="726"/>
      <c r="G53" s="238"/>
      <c r="H53" s="239">
        <v>1210</v>
      </c>
      <c r="I53" s="240" t="s">
        <v>245</v>
      </c>
      <c r="J53" s="240" t="s">
        <v>245</v>
      </c>
      <c r="L53" s="222"/>
    </row>
    <row r="54" spans="1:12" s="221" customFormat="1" ht="15.75" x14ac:dyDescent="0.2">
      <c r="A54" s="217">
        <v>2</v>
      </c>
      <c r="B54" s="236" t="s">
        <v>767</v>
      </c>
      <c r="C54" s="244">
        <f>'Design Regulator'!E52</f>
        <v>100</v>
      </c>
      <c r="D54" s="712">
        <f>C54</f>
        <v>100</v>
      </c>
      <c r="E54" s="713"/>
      <c r="F54" s="713"/>
      <c r="G54" s="238"/>
      <c r="H54" s="239" t="s">
        <v>248</v>
      </c>
      <c r="I54" s="240" t="s">
        <v>245</v>
      </c>
      <c r="J54" s="240" t="s">
        <v>245</v>
      </c>
      <c r="L54" s="222"/>
    </row>
    <row r="55" spans="1:12" s="221" customFormat="1" ht="15.75" x14ac:dyDescent="0.2">
      <c r="A55" s="228">
        <v>3</v>
      </c>
      <c r="B55" s="229" t="s">
        <v>768</v>
      </c>
      <c r="C55" s="242">
        <v>2.2000000000000002</v>
      </c>
      <c r="D55" s="716">
        <f t="shared" si="0"/>
        <v>2.2000000000000002</v>
      </c>
      <c r="E55" s="717"/>
      <c r="F55" s="717"/>
      <c r="G55" s="241"/>
      <c r="H55" s="231" t="s">
        <v>248</v>
      </c>
      <c r="I55" s="232" t="s">
        <v>245</v>
      </c>
      <c r="J55" s="232" t="s">
        <v>245</v>
      </c>
      <c r="L55" s="222"/>
    </row>
    <row r="56" spans="1:12" s="221" customFormat="1" ht="15.75" x14ac:dyDescent="0.2">
      <c r="A56" s="228">
        <v>1</v>
      </c>
      <c r="B56" s="229" t="s">
        <v>772</v>
      </c>
      <c r="C56" s="242">
        <v>0.47</v>
      </c>
      <c r="D56" s="716">
        <f t="shared" si="0"/>
        <v>0.47</v>
      </c>
      <c r="E56" s="717"/>
      <c r="F56" s="717"/>
      <c r="G56" s="241"/>
      <c r="H56" s="231" t="s">
        <v>248</v>
      </c>
      <c r="I56" s="232" t="s">
        <v>245</v>
      </c>
      <c r="J56" s="232" t="s">
        <v>245</v>
      </c>
      <c r="L56" s="222"/>
    </row>
    <row r="57" spans="1:12" s="221" customFormat="1" ht="15.75" customHeight="1" x14ac:dyDescent="0.2">
      <c r="A57" s="228">
        <v>2</v>
      </c>
      <c r="B57" s="229" t="s">
        <v>760</v>
      </c>
      <c r="C57" s="245" t="s">
        <v>246</v>
      </c>
      <c r="D57" s="723" t="s">
        <v>802</v>
      </c>
      <c r="E57" s="724"/>
      <c r="F57" s="724"/>
      <c r="G57" s="241"/>
      <c r="H57" s="246" t="s">
        <v>256</v>
      </c>
      <c r="I57" s="232" t="s">
        <v>256</v>
      </c>
      <c r="J57" s="232" t="s">
        <v>255</v>
      </c>
      <c r="L57" s="222"/>
    </row>
    <row r="58" spans="1:12" s="221" customFormat="1" ht="15.75" x14ac:dyDescent="0.2">
      <c r="A58" s="217">
        <v>1</v>
      </c>
      <c r="B58" s="236" t="s">
        <v>758</v>
      </c>
      <c r="C58" s="247">
        <f>'Design Regulator'!E28</f>
        <v>1.5</v>
      </c>
      <c r="D58" s="707" t="str">
        <f>"Inductor, "&amp;Lf*1000000&amp;"µH, "&amp;Rdcr*1000&amp;"mΩ, &gt;"&amp;ROUNDUP(Ilimit_DC*1.3/SCH_MODE,0)&amp;"A"</f>
        <v>Inductor, 1.5µH, 4mΩ, &gt;21A</v>
      </c>
      <c r="E58" s="708"/>
      <c r="F58" s="708"/>
      <c r="G58" s="709"/>
      <c r="H58" s="240" t="s">
        <v>256</v>
      </c>
      <c r="I58" s="240" t="s">
        <v>256</v>
      </c>
      <c r="J58" s="240" t="s">
        <v>255</v>
      </c>
      <c r="L58" s="222"/>
    </row>
    <row r="59" spans="1:12" s="221" customFormat="1" ht="15.75" x14ac:dyDescent="0.2">
      <c r="A59" s="217">
        <v>1</v>
      </c>
      <c r="B59" s="236" t="s">
        <v>759</v>
      </c>
      <c r="C59" s="247">
        <f>IF(MODE = 1, 'Design Regulator'!J28, 'Design Regulator'!E28)</f>
        <v>1.5</v>
      </c>
      <c r="D59" s="707" t="str">
        <f>IF(MODE=1, "Inductor, "&amp;Lo_2*1000000&amp;"µH, "&amp;Rdcr2*1000&amp;"mΩ, &gt;"&amp;ROUNDUP(Ilimit2_DC*1.3,0)&amp;"A", "Inductor, "&amp;Lf*1000000&amp;"µH, "&amp;Rdcr*1000&amp;"mΩ, &gt;"&amp;ROUNDUP(Ilimit_DC*1.3/SCH_MODE,0)&amp;"A")</f>
        <v>Inductor, 1.5µH, 5mΩ, &gt;21A</v>
      </c>
      <c r="E59" s="708"/>
      <c r="F59" s="708"/>
      <c r="G59" s="709"/>
      <c r="H59" s="240" t="s">
        <v>256</v>
      </c>
      <c r="I59" s="240" t="s">
        <v>256</v>
      </c>
      <c r="J59" s="240" t="s">
        <v>255</v>
      </c>
      <c r="L59" s="222"/>
    </row>
    <row r="60" spans="1:12" s="221" customFormat="1" ht="15.75" x14ac:dyDescent="0.2">
      <c r="A60" s="228">
        <v>2</v>
      </c>
      <c r="B60" s="229" t="s">
        <v>523</v>
      </c>
      <c r="C60" s="245" t="s">
        <v>246</v>
      </c>
      <c r="D60" s="701">
        <f>'Design Regulator'!E83</f>
        <v>6</v>
      </c>
      <c r="E60" s="702"/>
      <c r="F60" s="702"/>
      <c r="G60" s="703"/>
      <c r="H60" s="232" t="s">
        <v>245</v>
      </c>
      <c r="I60" s="232" t="str">
        <f>'Design Regulator'!E81</f>
        <v>NVMFS5H663, NVMFS5C628NL</v>
      </c>
      <c r="J60" s="232" t="s">
        <v>256</v>
      </c>
      <c r="L60" s="222"/>
    </row>
    <row r="61" spans="1:12" s="221" customFormat="1" ht="15.75" x14ac:dyDescent="0.2">
      <c r="A61" s="228">
        <v>2</v>
      </c>
      <c r="B61" s="229" t="s">
        <v>524</v>
      </c>
      <c r="C61" s="245" t="s">
        <v>246</v>
      </c>
      <c r="D61" s="701">
        <f>'Design Regulator'!H83</f>
        <v>6</v>
      </c>
      <c r="E61" s="702"/>
      <c r="F61" s="702"/>
      <c r="G61" s="703"/>
      <c r="H61" s="232" t="s">
        <v>245</v>
      </c>
      <c r="I61" s="232" t="str">
        <f>IF(MODE=1, 'Design Regulator'!H81, 'Design Regulator'!E81)</f>
        <v>NVMFS5H663, NVMFS5C628NL</v>
      </c>
      <c r="J61" s="232" t="s">
        <v>256</v>
      </c>
      <c r="L61" s="222"/>
    </row>
    <row r="62" spans="1:12" s="221" customFormat="1" ht="15.75" x14ac:dyDescent="0.2">
      <c r="A62" s="223">
        <v>1</v>
      </c>
      <c r="B62" s="224" t="s">
        <v>257</v>
      </c>
      <c r="C62" s="225">
        <f>'Design Regulator'!D70</f>
        <v>75</v>
      </c>
      <c r="D62" s="698">
        <f t="shared" ref="D62:D74" si="2">C62</f>
        <v>75</v>
      </c>
      <c r="E62" s="699"/>
      <c r="F62" s="699"/>
      <c r="G62" s="700"/>
      <c r="H62" s="226" t="s">
        <v>248</v>
      </c>
      <c r="I62" s="227" t="s">
        <v>245</v>
      </c>
      <c r="J62" s="227" t="s">
        <v>245</v>
      </c>
      <c r="L62" s="222"/>
    </row>
    <row r="63" spans="1:12" s="221" customFormat="1" ht="15.75" x14ac:dyDescent="0.2">
      <c r="A63" s="223">
        <v>1</v>
      </c>
      <c r="B63" s="224" t="s">
        <v>761</v>
      </c>
      <c r="C63" s="225">
        <f>IF(MODE=1, 'Variable Management'!E353, "N/A")</f>
        <v>60.4</v>
      </c>
      <c r="D63" s="698">
        <f t="shared" ref="D63" si="3">C63</f>
        <v>60.4</v>
      </c>
      <c r="E63" s="699"/>
      <c r="F63" s="699"/>
      <c r="G63" s="700"/>
      <c r="H63" s="239" t="str">
        <f>IF(MODE=1, "0603", "-")</f>
        <v>0603</v>
      </c>
      <c r="I63" s="239" t="str">
        <f>IF(MODE=1, "Std", "-")</f>
        <v>Std</v>
      </c>
      <c r="J63" s="239" t="str">
        <f>IF(MODE=1, "Std", "-")</f>
        <v>Std</v>
      </c>
      <c r="L63" s="222"/>
    </row>
    <row r="64" spans="1:12" s="221" customFormat="1" ht="15.75" x14ac:dyDescent="0.2">
      <c r="A64" s="223">
        <v>1</v>
      </c>
      <c r="B64" s="224" t="s">
        <v>762</v>
      </c>
      <c r="C64" s="437">
        <f>Rs*1000</f>
        <v>4</v>
      </c>
      <c r="D64" s="704">
        <f t="shared" si="2"/>
        <v>4</v>
      </c>
      <c r="E64" s="705"/>
      <c r="F64" s="705"/>
      <c r="G64" s="706"/>
      <c r="H64" s="226" t="s">
        <v>763</v>
      </c>
      <c r="I64" s="227" t="s">
        <v>245</v>
      </c>
      <c r="J64" s="227" t="s">
        <v>245</v>
      </c>
      <c r="L64" s="222"/>
    </row>
    <row r="65" spans="1:12" s="221" customFormat="1" ht="15.75" x14ac:dyDescent="0.2">
      <c r="A65" s="223">
        <v>1</v>
      </c>
      <c r="B65" s="224" t="s">
        <v>764</v>
      </c>
      <c r="C65" s="437">
        <f>IF(MODE=1, Rs_Ch2*1000, Rs*1000)</f>
        <v>4</v>
      </c>
      <c r="D65" s="704">
        <f t="shared" ref="D65" si="4">C65</f>
        <v>4</v>
      </c>
      <c r="E65" s="705"/>
      <c r="F65" s="705"/>
      <c r="G65" s="706"/>
      <c r="H65" s="226" t="s">
        <v>763</v>
      </c>
      <c r="I65" s="227" t="s">
        <v>245</v>
      </c>
      <c r="J65" s="227" t="s">
        <v>245</v>
      </c>
      <c r="L65" s="222"/>
    </row>
    <row r="66" spans="1:12" s="221" customFormat="1" ht="15.75" x14ac:dyDescent="0.2">
      <c r="A66" s="223">
        <v>1</v>
      </c>
      <c r="B66" s="224" t="s">
        <v>460</v>
      </c>
      <c r="C66" s="225">
        <f>'Design Regulator'!E13</f>
        <v>11</v>
      </c>
      <c r="D66" s="698">
        <f t="shared" si="2"/>
        <v>11</v>
      </c>
      <c r="E66" s="699"/>
      <c r="F66" s="699"/>
      <c r="G66" s="700"/>
      <c r="H66" s="226" t="s">
        <v>248</v>
      </c>
      <c r="I66" s="227" t="s">
        <v>245</v>
      </c>
      <c r="J66" s="227" t="s">
        <v>245</v>
      </c>
      <c r="L66" s="222"/>
    </row>
    <row r="67" spans="1:12" s="221" customFormat="1" ht="15.75" x14ac:dyDescent="0.2">
      <c r="A67" s="223">
        <v>1</v>
      </c>
      <c r="B67" s="224" t="s">
        <v>259</v>
      </c>
      <c r="C67" s="225">
        <f>'Design Regulator'!E65</f>
        <v>39.299999999999997</v>
      </c>
      <c r="D67" s="698">
        <f t="shared" si="2"/>
        <v>39.299999999999997</v>
      </c>
      <c r="E67" s="699"/>
      <c r="F67" s="699"/>
      <c r="G67" s="700"/>
      <c r="H67" s="226" t="s">
        <v>248</v>
      </c>
      <c r="I67" s="227" t="s">
        <v>245</v>
      </c>
      <c r="J67" s="227" t="s">
        <v>245</v>
      </c>
      <c r="L67" s="222"/>
    </row>
    <row r="68" spans="1:12" s="221" customFormat="1" ht="15.75" x14ac:dyDescent="0.2">
      <c r="A68" s="223">
        <v>1</v>
      </c>
      <c r="B68" s="224" t="s">
        <v>260</v>
      </c>
      <c r="C68" s="225">
        <f>'Design Regulator'!E66</f>
        <v>1.21</v>
      </c>
      <c r="D68" s="698">
        <f t="shared" si="2"/>
        <v>1.21</v>
      </c>
      <c r="E68" s="699"/>
      <c r="F68" s="699"/>
      <c r="G68" s="700"/>
      <c r="H68" s="226" t="s">
        <v>248</v>
      </c>
      <c r="I68" s="227" t="s">
        <v>245</v>
      </c>
      <c r="J68" s="227" t="s">
        <v>245</v>
      </c>
      <c r="L68" s="222"/>
    </row>
    <row r="69" spans="1:12" s="221" customFormat="1" ht="15.75" x14ac:dyDescent="0.2">
      <c r="A69" s="223">
        <v>1</v>
      </c>
      <c r="B69" s="224" t="s">
        <v>765</v>
      </c>
      <c r="C69" s="225">
        <f>IF(MODE=1, 'Design Regulator'!J65, "N/A")</f>
        <v>115</v>
      </c>
      <c r="D69" s="698">
        <f t="shared" ref="D69:D70" si="5">C69</f>
        <v>115</v>
      </c>
      <c r="E69" s="699"/>
      <c r="F69" s="699"/>
      <c r="G69" s="700"/>
      <c r="H69" s="239" t="str">
        <f>IF(MODE=1, "0603", "-")</f>
        <v>0603</v>
      </c>
      <c r="I69" s="239" t="str">
        <f>IF(MODE=1, "Std", "-")</f>
        <v>Std</v>
      </c>
      <c r="J69" s="239" t="str">
        <f>IF(MODE=1, "Std", "-")</f>
        <v>Std</v>
      </c>
      <c r="L69" s="222"/>
    </row>
    <row r="70" spans="1:12" s="221" customFormat="1" ht="15.75" x14ac:dyDescent="0.2">
      <c r="A70" s="223">
        <v>1</v>
      </c>
      <c r="B70" s="224" t="s">
        <v>766</v>
      </c>
      <c r="C70" s="225">
        <f>IF(MODE=1, 'Design Regulator'!J66, "N/A")</f>
        <v>3.57</v>
      </c>
      <c r="D70" s="698">
        <f t="shared" si="5"/>
        <v>3.57</v>
      </c>
      <c r="E70" s="699"/>
      <c r="F70" s="699"/>
      <c r="G70" s="700"/>
      <c r="H70" s="239" t="str">
        <f>IF(MODE=1, "0603", "-")</f>
        <v>0603</v>
      </c>
      <c r="I70" s="239" t="str">
        <f>IF(MODE=1, "Std", "-")</f>
        <v>Std</v>
      </c>
      <c r="J70" s="239" t="str">
        <f>IF(MODE=1, "Std", "-")</f>
        <v>Std</v>
      </c>
      <c r="L70" s="222"/>
    </row>
    <row r="71" spans="1:12" s="221" customFormat="1" ht="15.75" x14ac:dyDescent="0.2">
      <c r="A71" s="228">
        <v>2</v>
      </c>
      <c r="B71" s="229" t="s">
        <v>773</v>
      </c>
      <c r="C71" s="230">
        <v>100</v>
      </c>
      <c r="D71" s="695">
        <f t="shared" si="2"/>
        <v>100</v>
      </c>
      <c r="E71" s="696"/>
      <c r="F71" s="696"/>
      <c r="G71" s="697"/>
      <c r="H71" s="231" t="s">
        <v>248</v>
      </c>
      <c r="I71" s="232" t="s">
        <v>245</v>
      </c>
      <c r="J71" s="232" t="s">
        <v>245</v>
      </c>
      <c r="L71" s="222"/>
    </row>
    <row r="72" spans="1:12" s="221" customFormat="1" ht="15.75" x14ac:dyDescent="0.2">
      <c r="A72" s="223">
        <v>2</v>
      </c>
      <c r="B72" s="224" t="s">
        <v>801</v>
      </c>
      <c r="C72" s="225">
        <v>100</v>
      </c>
      <c r="D72" s="698">
        <f t="shared" si="2"/>
        <v>100</v>
      </c>
      <c r="E72" s="699"/>
      <c r="F72" s="699"/>
      <c r="G72" s="700"/>
      <c r="H72" s="226" t="s">
        <v>248</v>
      </c>
      <c r="I72" s="227" t="s">
        <v>245</v>
      </c>
      <c r="J72" s="227" t="s">
        <v>245</v>
      </c>
      <c r="L72" s="222"/>
    </row>
    <row r="73" spans="1:12" s="221" customFormat="1" ht="15.75" x14ac:dyDescent="0.2">
      <c r="A73" s="223">
        <v>1</v>
      </c>
      <c r="B73" s="224" t="s">
        <v>800</v>
      </c>
      <c r="C73" s="225">
        <v>100</v>
      </c>
      <c r="D73" s="698">
        <f t="shared" si="2"/>
        <v>100</v>
      </c>
      <c r="E73" s="699"/>
      <c r="F73" s="699"/>
      <c r="G73" s="700"/>
      <c r="H73" s="226" t="s">
        <v>248</v>
      </c>
      <c r="I73" s="227" t="s">
        <v>245</v>
      </c>
      <c r="J73" s="227" t="s">
        <v>245</v>
      </c>
      <c r="L73" s="222"/>
    </row>
    <row r="74" spans="1:12" s="221" customFormat="1" ht="15.75" x14ac:dyDescent="0.2">
      <c r="A74" s="228">
        <v>1</v>
      </c>
      <c r="B74" s="229" t="s">
        <v>258</v>
      </c>
      <c r="C74" s="245">
        <v>2.2000000000000002</v>
      </c>
      <c r="D74" s="720">
        <f t="shared" si="2"/>
        <v>2.2000000000000002</v>
      </c>
      <c r="E74" s="721"/>
      <c r="F74" s="721"/>
      <c r="G74" s="722"/>
      <c r="H74" s="231" t="s">
        <v>248</v>
      </c>
      <c r="I74" s="232" t="s">
        <v>245</v>
      </c>
      <c r="J74" s="232" t="s">
        <v>245</v>
      </c>
      <c r="L74" s="222"/>
    </row>
    <row r="75" spans="1:12" s="221" customFormat="1" ht="14.25" customHeight="1" x14ac:dyDescent="0.2">
      <c r="A75" s="676">
        <v>1</v>
      </c>
      <c r="B75" s="688" t="s">
        <v>261</v>
      </c>
      <c r="C75" s="686" t="str">
        <f>CHOOSE(VARIANT, "LM5143", "LM5143-Q1", "LM5143A-Q1","LM25143","LM25143-Q1")</f>
        <v>LM5143-Q1</v>
      </c>
      <c r="D75" s="680" t="str">
        <f>CHOOSE(VARIANT, "IC, LM5143, Buck PWM Controller, 3.5V–65V Input","IC, LM5143-Q1, Buck PWM Controller, 3.5V–65V Input","IC, LM5143A-Q1, Buck PWM Controller, 3.5V–65V Input","IC, LM25143, Buck PWM Controller, 3.5V–42V Input","IC, LM25143-Q1, Buck PWM Controller, 3.5V–42V Input")</f>
        <v>IC, LM5143-Q1, Buck PWM Controller, 3.5V–65V Input</v>
      </c>
      <c r="E75" s="681"/>
      <c r="F75" s="681"/>
      <c r="G75" s="682"/>
      <c r="H75" s="678" t="s">
        <v>757</v>
      </c>
      <c r="I75" s="678" t="str">
        <f>CHOOSE(VARIANT, "LM5143RHAR", "LM5143QRWGRQ1", "LM5143QRHARQ1", "LM25143RHAR", "LM25143QRHARQ1")</f>
        <v>LM5143QRWGRQ1</v>
      </c>
      <c r="J75" s="678" t="s">
        <v>247</v>
      </c>
      <c r="L75" s="222"/>
    </row>
    <row r="76" spans="1:12" x14ac:dyDescent="0.2">
      <c r="A76" s="677"/>
      <c r="B76" s="689"/>
      <c r="C76" s="687"/>
      <c r="D76" s="683"/>
      <c r="E76" s="684"/>
      <c r="F76" s="684"/>
      <c r="G76" s="685"/>
      <c r="H76" s="679"/>
      <c r="I76" s="679"/>
      <c r="J76" s="679"/>
    </row>
    <row r="78" spans="1:12" x14ac:dyDescent="0.2">
      <c r="A78" s="255" t="s">
        <v>269</v>
      </c>
    </row>
    <row r="79" spans="1:12" ht="17.100000000000001" customHeight="1" x14ac:dyDescent="0.2">
      <c r="A79" s="128" t="s">
        <v>606</v>
      </c>
      <c r="D79" s="553" t="s">
        <v>605</v>
      </c>
      <c r="E79" s="214" t="s">
        <v>607</v>
      </c>
    </row>
    <row r="80" spans="1:12" ht="17.100000000000001" customHeight="1" x14ac:dyDescent="0.2">
      <c r="A80" s="214" t="s">
        <v>464</v>
      </c>
    </row>
    <row r="81" spans="1:1" ht="17.100000000000001" customHeight="1" x14ac:dyDescent="0.2">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D70:G70"/>
    <mergeCell ref="D49:F49"/>
    <mergeCell ref="D72:G72"/>
    <mergeCell ref="D73:G73"/>
    <mergeCell ref="D74:G74"/>
    <mergeCell ref="D57:F57"/>
    <mergeCell ref="D62:G62"/>
    <mergeCell ref="D53:F53"/>
    <mergeCell ref="D54:F54"/>
    <mergeCell ref="D56:F56"/>
    <mergeCell ref="D47:F47"/>
    <mergeCell ref="D48:F48"/>
    <mergeCell ref="D50:F50"/>
    <mergeCell ref="D55:F55"/>
    <mergeCell ref="D52:F52"/>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A75:A76"/>
    <mergeCell ref="J75:J76"/>
    <mergeCell ref="D75:G76"/>
    <mergeCell ref="C75:C76"/>
    <mergeCell ref="B75:B76"/>
    <mergeCell ref="H75:H76"/>
    <mergeCell ref="I75:I7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13" zoomScaleNormal="100" zoomScaleSheetLayoutView="80" workbookViewId="0">
      <selection activeCell="A2" sqref="A2"/>
    </sheetView>
  </sheetViews>
  <sheetFormatPr defaultColWidth="9.140625" defaultRowHeight="12.75" x14ac:dyDescent="0.2"/>
  <cols>
    <col min="1" max="13" width="9.140625" style="121"/>
    <col min="14" max="14" width="11.85546875" style="121" customWidth="1"/>
    <col min="15" max="16" width="9.140625" style="121"/>
    <col min="17" max="17" width="15.7109375" style="121" customWidth="1"/>
    <col min="18" max="16384" width="9.140625" style="121"/>
  </cols>
  <sheetData>
    <row r="1" spans="1:23" s="113" customFormat="1" ht="47.25" customHeight="1" x14ac:dyDescent="0.2">
      <c r="A1" s="727" t="s">
        <v>857</v>
      </c>
      <c r="B1" s="728"/>
      <c r="C1" s="728"/>
      <c r="D1" s="728"/>
      <c r="E1" s="728"/>
      <c r="F1" s="728"/>
      <c r="G1" s="728"/>
      <c r="H1" s="728"/>
      <c r="I1" s="728"/>
      <c r="J1" s="728"/>
      <c r="K1" s="728"/>
      <c r="L1" s="728"/>
      <c r="M1" s="728"/>
      <c r="N1" s="728"/>
      <c r="O1" s="728"/>
      <c r="P1" s="728"/>
      <c r="Q1" s="728"/>
    </row>
    <row r="6" spans="1:23" ht="20.25" x14ac:dyDescent="0.3">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2.75" x14ac:dyDescent="0.2"/>
  <cols>
    <col min="1" max="1" width="35.7109375" customWidth="1"/>
    <col min="2" max="2" width="12" customWidth="1"/>
    <col min="3" max="3" width="12.140625" style="2" customWidth="1"/>
    <col min="4" max="4" width="13.4257812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6" max="16" width="8.28515625" customWidth="1"/>
    <col min="23" max="23" width="11.5703125" bestFit="1" customWidth="1"/>
    <col min="24" max="24" width="12.5703125" customWidth="1"/>
    <col min="25" max="25" width="12.42578125" customWidth="1"/>
  </cols>
  <sheetData>
    <row r="1" spans="1:27" ht="30.75" customHeight="1" x14ac:dyDescent="0.4">
      <c r="A1" s="730" t="s">
        <v>393</v>
      </c>
      <c r="B1" s="730"/>
      <c r="C1" s="730"/>
      <c r="D1" s="730"/>
      <c r="E1" s="730"/>
      <c r="F1" s="730"/>
      <c r="G1" s="730"/>
      <c r="H1" s="730"/>
      <c r="I1" s="730"/>
    </row>
    <row r="2" spans="1:27" ht="12" customHeight="1" x14ac:dyDescent="0.2">
      <c r="A2" s="49"/>
      <c r="B2" s="49" t="s">
        <v>191</v>
      </c>
      <c r="C2" s="50"/>
      <c r="E2" s="49"/>
      <c r="F2" s="49"/>
      <c r="G2" s="49"/>
      <c r="H2" s="49"/>
      <c r="I2" s="49"/>
    </row>
    <row r="3" spans="1:27" ht="11.25" customHeight="1" x14ac:dyDescent="0.2">
      <c r="A3" s="49"/>
      <c r="B3" s="49" t="s">
        <v>223</v>
      </c>
      <c r="C3" s="51"/>
      <c r="E3" s="49"/>
      <c r="F3" s="49"/>
      <c r="G3" s="49"/>
      <c r="H3" s="49"/>
      <c r="I3" s="49"/>
    </row>
    <row r="4" spans="1:27" ht="11.25" customHeight="1" x14ac:dyDescent="0.2">
      <c r="A4" s="49"/>
      <c r="B4" s="49" t="s">
        <v>192</v>
      </c>
      <c r="C4" s="52"/>
      <c r="E4" s="49"/>
      <c r="F4" s="49"/>
      <c r="G4" s="49"/>
      <c r="H4" s="49"/>
      <c r="I4" s="49"/>
    </row>
    <row r="5" spans="1:27" x14ac:dyDescent="0.2">
      <c r="A5" s="2" t="s">
        <v>47</v>
      </c>
      <c r="B5" s="2" t="s">
        <v>7</v>
      </c>
      <c r="C5" s="2" t="s">
        <v>8</v>
      </c>
      <c r="E5" s="729" t="s">
        <v>12</v>
      </c>
      <c r="F5" s="729"/>
      <c r="G5" s="729"/>
      <c r="H5" s="729"/>
      <c r="I5" s="2" t="s">
        <v>414</v>
      </c>
    </row>
    <row r="6" spans="1:27" ht="16.5" thickBot="1" x14ac:dyDescent="0.3">
      <c r="A6" s="525" t="s">
        <v>148</v>
      </c>
      <c r="B6" s="2"/>
      <c r="D6" s="2"/>
      <c r="E6" s="49"/>
      <c r="F6" s="49"/>
      <c r="G6" s="49"/>
      <c r="H6" s="49"/>
      <c r="I6" s="2"/>
    </row>
    <row r="7" spans="1:27" x14ac:dyDescent="0.2">
      <c r="A7" s="211" t="s">
        <v>289</v>
      </c>
      <c r="B7" s="12">
        <f>'Design Regulator'!E7</f>
        <v>20</v>
      </c>
      <c r="C7" s="63" t="s">
        <v>0</v>
      </c>
      <c r="D7" s="117" t="s">
        <v>290</v>
      </c>
      <c r="E7" s="63"/>
      <c r="F7" s="63"/>
      <c r="G7" s="63"/>
      <c r="H7" s="63"/>
      <c r="I7" s="64">
        <v>1</v>
      </c>
    </row>
    <row r="8" spans="1:27" x14ac:dyDescent="0.2">
      <c r="A8" s="212" t="s">
        <v>625</v>
      </c>
      <c r="B8" s="29">
        <f>'Design Regulator'!E8</f>
        <v>21</v>
      </c>
      <c r="C8" t="s">
        <v>0</v>
      </c>
      <c r="D8" t="s">
        <v>13</v>
      </c>
      <c r="I8" s="57"/>
      <c r="K8" s="294" t="str">
        <f>CHOOSE(SCH_MODE, "Efficiency vs. IOUT (Ch1)", "Efficiency vs. IOUT - 2 Ph", "Efficiency vs. IOUT - 3 Ph", "Efficiency vs. IOUT - 4 Ph")</f>
        <v>Efficiency vs. IOUT (Ch1)</v>
      </c>
      <c r="L8" s="116">
        <v>1</v>
      </c>
      <c r="N8" s="294" t="s">
        <v>612</v>
      </c>
      <c r="O8" s="116">
        <v>1</v>
      </c>
      <c r="T8" s="294" t="s">
        <v>780</v>
      </c>
      <c r="U8" s="116">
        <v>1</v>
      </c>
      <c r="W8" s="294" t="s">
        <v>677</v>
      </c>
      <c r="X8" s="116">
        <v>1</v>
      </c>
      <c r="Z8" s="294" t="str">
        <f>CHOOSE(SCH_MODE, "Bode Plot (Ch1)", "Bode Plot - 2 Ph", "Bode Plot - 3 Ph", "Bode Plot - 4 Ph")</f>
        <v>Bode Plot (Ch1)</v>
      </c>
      <c r="AA8" s="116">
        <v>1</v>
      </c>
    </row>
    <row r="9" spans="1:27" x14ac:dyDescent="0.2">
      <c r="A9" s="212" t="s">
        <v>288</v>
      </c>
      <c r="B9" s="29">
        <f>'Design Regulator'!E9</f>
        <v>26</v>
      </c>
      <c r="C9" t="s">
        <v>0</v>
      </c>
      <c r="D9" s="114" t="s">
        <v>291</v>
      </c>
      <c r="I9" s="57"/>
      <c r="K9" s="294" t="str">
        <f>IF(MODE=1, "Efficiency vs. IOUT (Ch2)", "N/A - Do Not Use")</f>
        <v>Efficiency vs. IOUT (Ch2)</v>
      </c>
      <c r="L9" s="116">
        <v>2</v>
      </c>
      <c r="N9" s="294" t="s">
        <v>611</v>
      </c>
      <c r="O9" s="116">
        <v>2</v>
      </c>
      <c r="T9" s="294" t="s">
        <v>781</v>
      </c>
      <c r="U9" s="116">
        <v>2</v>
      </c>
      <c r="W9" s="294" t="s">
        <v>678</v>
      </c>
      <c r="X9" s="116">
        <v>2</v>
      </c>
      <c r="Z9" s="294" t="str">
        <f>IF(MODE=1, "Bode Plot (Ch2)", "N/A - Do Not Use")</f>
        <v>Bode Plot (Ch2)</v>
      </c>
      <c r="AA9" s="116">
        <v>2</v>
      </c>
    </row>
    <row r="10" spans="1:27" x14ac:dyDescent="0.2">
      <c r="A10" s="212"/>
      <c r="B10" s="4"/>
      <c r="C10"/>
      <c r="D10" s="114"/>
      <c r="I10" s="57"/>
      <c r="K10" s="535" t="s">
        <v>586</v>
      </c>
      <c r="L10" s="536">
        <v>1</v>
      </c>
      <c r="N10" s="535" t="s">
        <v>609</v>
      </c>
      <c r="O10" s="536">
        <v>2</v>
      </c>
      <c r="P10" s="114" t="s">
        <v>610</v>
      </c>
      <c r="T10" s="294" t="s">
        <v>782</v>
      </c>
      <c r="U10" s="116">
        <v>3</v>
      </c>
      <c r="W10" s="535" t="s">
        <v>679</v>
      </c>
      <c r="X10" s="536">
        <v>1</v>
      </c>
      <c r="Z10" s="535" t="s">
        <v>784</v>
      </c>
      <c r="AA10" s="536">
        <v>1</v>
      </c>
    </row>
    <row r="11" spans="1:27" x14ac:dyDescent="0.2">
      <c r="A11" s="56" t="s">
        <v>4</v>
      </c>
      <c r="B11" s="29">
        <f>'Design Regulator'!E10</f>
        <v>20</v>
      </c>
      <c r="C11" t="s">
        <v>0</v>
      </c>
      <c r="D11" s="114" t="s">
        <v>639</v>
      </c>
      <c r="I11" s="57"/>
      <c r="T11" s="294" t="s">
        <v>783</v>
      </c>
      <c r="U11" s="116">
        <v>4</v>
      </c>
      <c r="V11" s="114"/>
    </row>
    <row r="12" spans="1:27" x14ac:dyDescent="0.2">
      <c r="A12" s="56" t="s">
        <v>5</v>
      </c>
      <c r="B12" s="29">
        <f>'Design Regulator'!E11</f>
        <v>5</v>
      </c>
      <c r="C12" t="s">
        <v>1</v>
      </c>
      <c r="D12" s="114" t="s">
        <v>640</v>
      </c>
      <c r="I12" s="57">
        <v>1</v>
      </c>
      <c r="T12" s="535" t="s">
        <v>631</v>
      </c>
      <c r="U12" s="536">
        <v>1</v>
      </c>
      <c r="V12" s="114"/>
    </row>
    <row r="13" spans="1:27" x14ac:dyDescent="0.2">
      <c r="A13" s="212" t="s">
        <v>626</v>
      </c>
      <c r="B13" s="29">
        <f>'Design Regulator'!J10</f>
        <v>20</v>
      </c>
      <c r="C13" t="s">
        <v>0</v>
      </c>
      <c r="D13" s="114" t="s">
        <v>642</v>
      </c>
      <c r="I13" s="57">
        <v>1</v>
      </c>
      <c r="K13" s="294" t="s">
        <v>712</v>
      </c>
      <c r="L13" s="116">
        <v>1</v>
      </c>
      <c r="N13" s="294" t="s">
        <v>712</v>
      </c>
      <c r="O13" s="116">
        <v>1</v>
      </c>
      <c r="T13" s="598" t="s">
        <v>797</v>
      </c>
      <c r="U13" s="594">
        <f>IF(U12=1, 1, 2)</f>
        <v>1</v>
      </c>
      <c r="V13" s="114"/>
      <c r="W13" s="294" t="s">
        <v>808</v>
      </c>
      <c r="X13" s="116">
        <v>1</v>
      </c>
    </row>
    <row r="14" spans="1:27" x14ac:dyDescent="0.2">
      <c r="A14" s="212" t="s">
        <v>627</v>
      </c>
      <c r="B14" s="29">
        <f>'Design Regulator'!J11</f>
        <v>5</v>
      </c>
      <c r="C14" t="s">
        <v>1</v>
      </c>
      <c r="D14" s="114" t="s">
        <v>641</v>
      </c>
      <c r="I14" s="57"/>
      <c r="K14" s="294" t="s">
        <v>713</v>
      </c>
      <c r="L14" s="116">
        <v>2</v>
      </c>
      <c r="N14" s="294" t="s">
        <v>713</v>
      </c>
      <c r="O14" s="116">
        <v>2</v>
      </c>
      <c r="T14" s="296" t="s">
        <v>796</v>
      </c>
      <c r="U14" s="599">
        <f>IF(U12=1, 2, 1)</f>
        <v>2</v>
      </c>
      <c r="W14" s="294" t="s">
        <v>809</v>
      </c>
      <c r="X14" s="116">
        <v>2</v>
      </c>
    </row>
    <row r="15" spans="1:27" x14ac:dyDescent="0.2">
      <c r="A15" s="212"/>
      <c r="C15"/>
      <c r="D15" s="114"/>
      <c r="I15" s="57"/>
      <c r="K15" s="294" t="s">
        <v>714</v>
      </c>
      <c r="L15" s="116">
        <v>3</v>
      </c>
      <c r="N15" s="294" t="s">
        <v>714</v>
      </c>
      <c r="O15" s="116">
        <v>3</v>
      </c>
      <c r="T15" s="296" t="s">
        <v>795</v>
      </c>
      <c r="U15" s="299">
        <f>SCH_MODE</f>
        <v>1</v>
      </c>
      <c r="W15" s="535" t="s">
        <v>810</v>
      </c>
      <c r="X15" s="536">
        <v>1</v>
      </c>
      <c r="Z15" s="294" t="s">
        <v>858</v>
      </c>
      <c r="AA15" s="116">
        <v>1</v>
      </c>
    </row>
    <row r="16" spans="1:27" x14ac:dyDescent="0.2">
      <c r="A16" s="212" t="s">
        <v>326</v>
      </c>
      <c r="B16" s="520">
        <f>Vout/Iout</f>
        <v>4</v>
      </c>
      <c r="C16" s="213" t="s">
        <v>116</v>
      </c>
      <c r="D16" s="114" t="s">
        <v>629</v>
      </c>
      <c r="I16" s="57"/>
      <c r="K16" s="535" t="s">
        <v>715</v>
      </c>
      <c r="L16" s="536">
        <f>IF(Vout=3.3, 1, IF(Vout=5, 2, 3))</f>
        <v>3</v>
      </c>
      <c r="N16" s="535" t="s">
        <v>716</v>
      </c>
      <c r="O16" s="536">
        <f>IF(Vout2=3.3, 1, IF(Vout2=5, 2, 3))</f>
        <v>3</v>
      </c>
      <c r="Z16" s="294" t="s">
        <v>859</v>
      </c>
      <c r="AA16" s="116">
        <v>2</v>
      </c>
    </row>
    <row r="17" spans="1:27" x14ac:dyDescent="0.2">
      <c r="A17" s="212" t="s">
        <v>628</v>
      </c>
      <c r="B17" s="520">
        <f>Vout2/Iout2</f>
        <v>4</v>
      </c>
      <c r="C17" s="213" t="s">
        <v>116</v>
      </c>
      <c r="D17" s="114"/>
      <c r="I17" s="57"/>
      <c r="Z17" s="535" t="s">
        <v>860</v>
      </c>
      <c r="AA17" s="536">
        <v>1</v>
      </c>
    </row>
    <row r="18" spans="1:27" x14ac:dyDescent="0.2">
      <c r="A18" s="212" t="s">
        <v>295</v>
      </c>
      <c r="B18" s="293">
        <f>CHOOSE(MODE, Vout*Iout+Vout2*Iout2, Vout*Iout)</f>
        <v>200</v>
      </c>
      <c r="C18" t="s">
        <v>116</v>
      </c>
      <c r="D18" s="114" t="s">
        <v>311</v>
      </c>
      <c r="I18" s="57"/>
      <c r="Y18" s="2"/>
    </row>
    <row r="19" spans="1:27" x14ac:dyDescent="0.2">
      <c r="A19" s="212"/>
      <c r="C19"/>
      <c r="D19" s="114"/>
      <c r="I19" s="57"/>
      <c r="Y19" s="2"/>
      <c r="AA19" s="116">
        <f>SENSING_TYPE</f>
        <v>1</v>
      </c>
    </row>
    <row r="20" spans="1:27" x14ac:dyDescent="0.2">
      <c r="A20" s="212" t="s">
        <v>127</v>
      </c>
      <c r="B20" s="408">
        <v>0.9</v>
      </c>
      <c r="C20"/>
      <c r="D20" s="114" t="s">
        <v>427</v>
      </c>
      <c r="I20" s="57"/>
      <c r="X20" s="294" t="s">
        <v>853</v>
      </c>
      <c r="Y20" s="299">
        <v>1</v>
      </c>
    </row>
    <row r="21" spans="1:27" x14ac:dyDescent="0.2">
      <c r="A21" s="212" t="s">
        <v>299</v>
      </c>
      <c r="B21" s="312">
        <f>Pout/Efficiency</f>
        <v>222.22222222222223</v>
      </c>
      <c r="C21" t="s">
        <v>116</v>
      </c>
      <c r="D21" s="114" t="s">
        <v>630</v>
      </c>
      <c r="I21" s="57"/>
      <c r="L21">
        <f>Vout</f>
        <v>20</v>
      </c>
      <c r="X21" s="294" t="s">
        <v>756</v>
      </c>
      <c r="Y21" s="299">
        <v>2</v>
      </c>
    </row>
    <row r="22" spans="1:27" x14ac:dyDescent="0.2">
      <c r="A22" s="212"/>
      <c r="B22" s="48"/>
      <c r="C22"/>
      <c r="D22" s="114"/>
      <c r="I22" s="57"/>
      <c r="X22" s="294" t="s">
        <v>861</v>
      </c>
      <c r="Y22" s="299">
        <v>3</v>
      </c>
      <c r="Z22" s="114"/>
    </row>
    <row r="23" spans="1:27" x14ac:dyDescent="0.2">
      <c r="A23" s="212" t="s">
        <v>296</v>
      </c>
      <c r="B23" s="305">
        <f>Pin/VIN_min</f>
        <v>11.111111111111111</v>
      </c>
      <c r="C23" t="s">
        <v>1</v>
      </c>
      <c r="D23" s="114"/>
      <c r="I23" s="57"/>
      <c r="X23" s="294" t="s">
        <v>855</v>
      </c>
      <c r="Y23" s="299">
        <v>4</v>
      </c>
    </row>
    <row r="24" spans="1:27" x14ac:dyDescent="0.2">
      <c r="A24" s="212" t="s">
        <v>297</v>
      </c>
      <c r="B24" s="305">
        <f>Pin/VIN_nom</f>
        <v>10.582010582010582</v>
      </c>
      <c r="C24" t="s">
        <v>1</v>
      </c>
      <c r="D24" s="114" t="s">
        <v>312</v>
      </c>
      <c r="I24" s="57"/>
      <c r="X24" s="294" t="s">
        <v>854</v>
      </c>
      <c r="Y24" s="299">
        <v>5</v>
      </c>
    </row>
    <row r="25" spans="1:27" x14ac:dyDescent="0.2">
      <c r="A25" s="212" t="s">
        <v>298</v>
      </c>
      <c r="B25" s="305">
        <f>Pin/VIN_max</f>
        <v>8.5470085470085468</v>
      </c>
      <c r="C25" t="s">
        <v>1</v>
      </c>
      <c r="D25" s="114"/>
      <c r="I25" s="57"/>
      <c r="W25" s="536" t="s">
        <v>851</v>
      </c>
      <c r="X25" s="296" t="str">
        <f>CHOOSE(VARIANT, "LM5143", "LM5143-Q1", "LM5143A-Q1", "LM25143", "LM25143-Q1")</f>
        <v>LM5143-Q1</v>
      </c>
      <c r="Y25" s="536">
        <v>2</v>
      </c>
    </row>
    <row r="26" spans="1:27" x14ac:dyDescent="0.2">
      <c r="A26" s="212"/>
      <c r="C26"/>
      <c r="D26" s="114"/>
      <c r="I26" s="57"/>
      <c r="W26" s="536" t="s">
        <v>852</v>
      </c>
      <c r="X26" s="296">
        <f>CHOOSE(VARIANT, 65, 65, 65, 42, 42)</f>
        <v>65</v>
      </c>
      <c r="Y26" t="s">
        <v>0</v>
      </c>
    </row>
    <row r="27" spans="1:27" x14ac:dyDescent="0.2">
      <c r="A27" s="58" t="s">
        <v>6</v>
      </c>
      <c r="B27" s="256">
        <f>'Design Regulator'!E12*1000</f>
        <v>2000000</v>
      </c>
      <c r="C27" s="114" t="s">
        <v>9</v>
      </c>
      <c r="D27" s="114" t="s">
        <v>646</v>
      </c>
      <c r="I27" s="57"/>
      <c r="W27" s="114" t="s">
        <v>856</v>
      </c>
      <c r="X27" s="294">
        <f>CHOOSE(VARIANT, 55, 55, 55, 36, 36)</f>
        <v>55</v>
      </c>
      <c r="Y27" s="114" t="s">
        <v>0</v>
      </c>
    </row>
    <row r="28" spans="1:27" x14ac:dyDescent="0.2">
      <c r="A28" s="212" t="s">
        <v>827</v>
      </c>
      <c r="B28" s="528">
        <f>1/Fsw</f>
        <v>4.9999999999999998E-7</v>
      </c>
      <c r="C28" s="114" t="s">
        <v>549</v>
      </c>
      <c r="D28" s="114" t="s">
        <v>643</v>
      </c>
      <c r="I28" s="57">
        <v>1</v>
      </c>
    </row>
    <row r="29" spans="1:27" x14ac:dyDescent="0.2">
      <c r="A29" s="58" t="s">
        <v>41</v>
      </c>
      <c r="B29" s="59">
        <v>0.6</v>
      </c>
      <c r="C29" t="s">
        <v>0</v>
      </c>
      <c r="D29" s="114" t="s">
        <v>644</v>
      </c>
      <c r="I29" s="57"/>
    </row>
    <row r="30" spans="1:27" x14ac:dyDescent="0.2">
      <c r="A30" s="212" t="s">
        <v>280</v>
      </c>
      <c r="B30" s="306">
        <f>22*1000/(Fsw/1000000)</f>
        <v>11000</v>
      </c>
      <c r="C30" s="213" t="s">
        <v>116</v>
      </c>
      <c r="D30" s="114" t="s">
        <v>645</v>
      </c>
      <c r="I30" s="57"/>
    </row>
    <row r="31" spans="1:27" ht="13.5" thickBot="1" x14ac:dyDescent="0.25">
      <c r="A31" s="384"/>
      <c r="B31" s="384"/>
      <c r="C31" s="576"/>
      <c r="D31" s="384"/>
      <c r="E31" s="384"/>
      <c r="F31" s="384"/>
      <c r="G31" s="384"/>
      <c r="H31" s="384"/>
      <c r="I31" s="577"/>
    </row>
    <row r="33" spans="1:9" ht="16.5" thickBot="1" x14ac:dyDescent="0.3">
      <c r="A33" s="525" t="s">
        <v>721</v>
      </c>
      <c r="B33" s="2" t="s">
        <v>649</v>
      </c>
      <c r="D33" s="2" t="s">
        <v>650</v>
      </c>
    </row>
    <row r="34" spans="1:9" x14ac:dyDescent="0.2">
      <c r="A34" s="211" t="s">
        <v>14</v>
      </c>
      <c r="B34" s="289">
        <f>Vout/VIN_nom</f>
        <v>0.95238095238095233</v>
      </c>
      <c r="C34" s="579"/>
      <c r="D34" s="292"/>
      <c r="E34" s="292"/>
      <c r="F34" s="117" t="s">
        <v>293</v>
      </c>
      <c r="G34" s="63"/>
      <c r="H34" s="63"/>
      <c r="I34" s="64"/>
    </row>
    <row r="35" spans="1:9" x14ac:dyDescent="0.2">
      <c r="A35" s="212" t="s">
        <v>15</v>
      </c>
      <c r="B35" s="290">
        <f>1-34:34</f>
        <v>4.7619047619047672E-2</v>
      </c>
      <c r="C35"/>
      <c r="F35" s="114" t="s">
        <v>294</v>
      </c>
      <c r="I35" s="57"/>
    </row>
    <row r="36" spans="1:9" x14ac:dyDescent="0.2">
      <c r="A36" s="114"/>
      <c r="C36"/>
      <c r="E36" s="114"/>
      <c r="I36" s="57"/>
    </row>
    <row r="37" spans="1:9" x14ac:dyDescent="0.2">
      <c r="A37" s="212" t="s">
        <v>723</v>
      </c>
      <c r="B37" s="300">
        <f>Vout/VIN_min</f>
        <v>1</v>
      </c>
      <c r="C37"/>
      <c r="D37" s="300">
        <f>Vout2/VIN_min</f>
        <v>1</v>
      </c>
      <c r="E37" s="114"/>
      <c r="I37" s="57"/>
    </row>
    <row r="38" spans="1:9" x14ac:dyDescent="0.2">
      <c r="A38" s="212" t="s">
        <v>724</v>
      </c>
      <c r="B38" s="300">
        <f>Vout/VIN_nom</f>
        <v>0.95238095238095233</v>
      </c>
      <c r="C38"/>
      <c r="D38" s="300">
        <f>Vout2/VIN_nom</f>
        <v>0.95238095238095233</v>
      </c>
      <c r="I38" s="57"/>
    </row>
    <row r="39" spans="1:9" x14ac:dyDescent="0.2">
      <c r="A39" s="212" t="s">
        <v>725</v>
      </c>
      <c r="B39" s="300">
        <f>Vout/VIN_max</f>
        <v>0.76923076923076927</v>
      </c>
      <c r="C39"/>
      <c r="D39" s="300">
        <f>Vout2/VIN_max</f>
        <v>0.76923076923076927</v>
      </c>
      <c r="E39" s="114"/>
      <c r="I39" s="57"/>
    </row>
    <row r="40" spans="1:9" x14ac:dyDescent="0.2">
      <c r="A40" s="114"/>
      <c r="B40" s="559"/>
      <c r="C40" s="114"/>
      <c r="E40" s="114"/>
      <c r="I40" s="57"/>
    </row>
    <row r="41" spans="1:9" x14ac:dyDescent="0.2">
      <c r="A41" s="114" t="s">
        <v>303</v>
      </c>
      <c r="B41" s="291">
        <f>(VIN_nom-Vout)*D1_Vinnom/(Fsw*(Iout/Number_of_Phases)*0.35)</f>
        <v>2.7210884353741493E-7</v>
      </c>
      <c r="C41" t="s">
        <v>19</v>
      </c>
      <c r="D41" s="291">
        <f>(VIN_nom-Vout2)*D2_Vinnom/(Fsw*Iout2*0.35)</f>
        <v>2.7210884353741493E-7</v>
      </c>
      <c r="E41" t="s">
        <v>19</v>
      </c>
      <c r="F41" s="114" t="s">
        <v>651</v>
      </c>
      <c r="I41" s="57"/>
    </row>
    <row r="42" spans="1:9" x14ac:dyDescent="0.2">
      <c r="A42" s="114" t="s">
        <v>647</v>
      </c>
      <c r="B42" s="291">
        <f>1000*Vout*Rs/24/Fsw</f>
        <v>1.6666666666666667E-6</v>
      </c>
      <c r="C42" t="s">
        <v>19</v>
      </c>
      <c r="D42" s="291">
        <f>1000*Vout2*Rs_Ch2/24/Fsw</f>
        <v>1.6666666666666667E-6</v>
      </c>
      <c r="E42" t="s">
        <v>19</v>
      </c>
      <c r="F42" s="114" t="s">
        <v>722</v>
      </c>
      <c r="I42" s="57"/>
    </row>
    <row r="43" spans="1:9" x14ac:dyDescent="0.2">
      <c r="A43" s="114"/>
      <c r="C43" s="114"/>
      <c r="E43" s="114"/>
      <c r="I43" s="57"/>
    </row>
    <row r="44" spans="1:9" x14ac:dyDescent="0.2">
      <c r="A44" s="212" t="s">
        <v>304</v>
      </c>
      <c r="B44" s="291">
        <f>B42</f>
        <v>1.6666666666666667E-6</v>
      </c>
      <c r="C44" t="s">
        <v>19</v>
      </c>
      <c r="D44" s="532">
        <f>D42</f>
        <v>1.6666666666666667E-6</v>
      </c>
      <c r="E44" s="114" t="s">
        <v>19</v>
      </c>
      <c r="F44" s="114" t="s">
        <v>550</v>
      </c>
      <c r="I44" s="57"/>
    </row>
    <row r="45" spans="1:9" x14ac:dyDescent="0.2">
      <c r="A45" s="212"/>
      <c r="C45"/>
      <c r="E45" s="114"/>
      <c r="I45" s="57"/>
    </row>
    <row r="46" spans="1:9" x14ac:dyDescent="0.2">
      <c r="A46" s="212" t="s">
        <v>669</v>
      </c>
      <c r="B46" s="72">
        <f>'Design Regulator'!E28/1000000</f>
        <v>1.5E-6</v>
      </c>
      <c r="C46" t="s">
        <v>19</v>
      </c>
      <c r="D46" s="72">
        <f>'Design Regulator'!J28/1000000</f>
        <v>1.5E-6</v>
      </c>
      <c r="E46" t="s">
        <v>19</v>
      </c>
      <c r="F46" s="114" t="s">
        <v>551</v>
      </c>
      <c r="I46" s="57"/>
    </row>
    <row r="47" spans="1:9" x14ac:dyDescent="0.2">
      <c r="A47" s="212" t="s">
        <v>11</v>
      </c>
      <c r="B47" s="29">
        <f>'Design Regulator'!E29/1000</f>
        <v>4.0000000000000001E-3</v>
      </c>
      <c r="C47" s="213" t="s">
        <v>116</v>
      </c>
      <c r="D47" s="29">
        <f>'Design Regulator'!J29/1000</f>
        <v>5.0000000000000001E-3</v>
      </c>
      <c r="E47" s="213" t="s">
        <v>116</v>
      </c>
      <c r="F47" s="114" t="s">
        <v>552</v>
      </c>
      <c r="I47" s="57"/>
    </row>
    <row r="48" spans="1:9" x14ac:dyDescent="0.2">
      <c r="A48" s="212"/>
      <c r="B48" s="114"/>
      <c r="C48" s="114"/>
      <c r="D48" s="114"/>
      <c r="E48" s="114"/>
      <c r="I48" s="57"/>
    </row>
    <row r="49" spans="1:9" x14ac:dyDescent="0.2">
      <c r="A49" s="212" t="s">
        <v>16</v>
      </c>
      <c r="B49" s="300">
        <f>(Vout+Iout*(Rdcr+Rs))/(Vin+Iout*Rs)</f>
        <v>0.95337773549000948</v>
      </c>
      <c r="C49"/>
      <c r="I49" s="57"/>
    </row>
    <row r="50" spans="1:9" x14ac:dyDescent="0.2">
      <c r="A50" s="212" t="s">
        <v>17</v>
      </c>
      <c r="B50" s="300">
        <f>1-_Don2</f>
        <v>4.6622264509990519E-2</v>
      </c>
      <c r="C50"/>
      <c r="I50" s="57"/>
    </row>
    <row r="51" spans="1:9" x14ac:dyDescent="0.2">
      <c r="A51" s="212"/>
      <c r="C51"/>
      <c r="I51" s="57"/>
    </row>
    <row r="52" spans="1:9" x14ac:dyDescent="0.2">
      <c r="A52" s="212" t="s">
        <v>726</v>
      </c>
      <c r="B52" s="300">
        <f>CHOOSE(MODE, (Vout+Iout*(Rdcr+Rs))/(VIN_min+Iout*Rs), (Vout+Iout/Number_of_Phases*(Rdcr+Rs))/(VIN_min+Iout/Number_of_Phases*Rs))</f>
        <v>1.0009990009990011</v>
      </c>
      <c r="C52"/>
      <c r="D52" s="300">
        <f>(Vout2+Iout2*(Rdcr2+Rs_Ch2))/(VIN_min+Iout2*Rs_Ch2)</f>
        <v>1.0012487512487513</v>
      </c>
      <c r="F52" s="114" t="s">
        <v>652</v>
      </c>
      <c r="I52" s="57"/>
    </row>
    <row r="53" spans="1:9" ht="15.75" x14ac:dyDescent="0.3">
      <c r="A53" s="212" t="s">
        <v>727</v>
      </c>
      <c r="B53" s="300">
        <f>CHOOSE(MODE, (Vout+Iout*(Rdcr+Rs))/(VIN_nom+Iout*Rs), (Vout+Iout/Number_of_Phases*(Rdcr+Rs))/(VIN_nom+Iout/Number_of_Phases*Rs))</f>
        <v>0.95337773549000948</v>
      </c>
      <c r="C53"/>
      <c r="D53" s="300">
        <f>(Vout2+Iout2*(Rdcr2+Rs_Ch2))/(VIN_nom+Iout2*Rs_Ch2)</f>
        <v>0.95361560418648916</v>
      </c>
      <c r="F53" s="379" t="s">
        <v>428</v>
      </c>
      <c r="I53" s="57"/>
    </row>
    <row r="54" spans="1:9" x14ac:dyDescent="0.2">
      <c r="A54" s="212" t="s">
        <v>728</v>
      </c>
      <c r="B54" s="300">
        <f>CHOOSE(MODE, (Vout+Iout*(Rdcr+Rs))/(VIN_max+Iout*Rs), (Vout+Iout/Number_of_Phases*(Rdcr+Rs))/(VIN_max+Iout/Number_of_Phases*Rs))</f>
        <v>0.77017678708685622</v>
      </c>
      <c r="C54"/>
      <c r="D54" s="300">
        <f>(Vout2+Iout2*(Rdcr2+Rs_Ch2))/(VIN_max+Iout2*Rs_Ch2)</f>
        <v>0.77036894696387404</v>
      </c>
      <c r="I54" s="57"/>
    </row>
    <row r="55" spans="1:9" x14ac:dyDescent="0.2">
      <c r="A55" s="212"/>
      <c r="C55"/>
      <c r="I55" s="57"/>
    </row>
    <row r="56" spans="1:9" x14ac:dyDescent="0.2">
      <c r="A56" s="212" t="s">
        <v>300</v>
      </c>
      <c r="B56" s="521">
        <f>MAX(0, (VIN_min-Vout)*D1_Vinmin_2/(Fsw*Lf))</f>
        <v>0</v>
      </c>
      <c r="C56" s="114" t="s">
        <v>1</v>
      </c>
      <c r="D56" s="521">
        <f>MAX(0.1, (VIN_min-Vout2)*D2_Vinmin_2/(Fsw*Lo_2))</f>
        <v>0.1</v>
      </c>
      <c r="E56" s="114" t="s">
        <v>1</v>
      </c>
      <c r="G56" s="30"/>
      <c r="I56" s="57"/>
    </row>
    <row r="57" spans="1:9" x14ac:dyDescent="0.2">
      <c r="A57" s="212" t="s">
        <v>301</v>
      </c>
      <c r="B57" s="521">
        <f>MAX(0, (VIN_nom-Vout)*D1_Vinnom_2/(Fsw*Lf))</f>
        <v>0.31779257849666981</v>
      </c>
      <c r="C57" s="114" t="s">
        <v>1</v>
      </c>
      <c r="D57" s="521">
        <f>MAX(0, (VIN_nom-Vout2)*D2_Vinnom_2/(Fsw*Lo_2))</f>
        <v>0.31787186806216305</v>
      </c>
      <c r="E57" s="114" t="s">
        <v>1</v>
      </c>
      <c r="I57" s="57"/>
    </row>
    <row r="58" spans="1:9" x14ac:dyDescent="0.2">
      <c r="A58" s="212" t="s">
        <v>302</v>
      </c>
      <c r="B58" s="521">
        <f>MAX(0, (VIN_max-Vout)*D1_Vinmax_2/(Fsw*Lf))</f>
        <v>1.5403535741737124</v>
      </c>
      <c r="C58" s="114" t="s">
        <v>1</v>
      </c>
      <c r="D58" s="521">
        <f>MAX(0, (VIN_max-Vout2)*D2_Vinmax_2/(Fsw*Lo_2))</f>
        <v>1.5407378939277481</v>
      </c>
      <c r="E58" s="114" t="s">
        <v>1</v>
      </c>
      <c r="I58" s="57"/>
    </row>
    <row r="59" spans="1:9" x14ac:dyDescent="0.2">
      <c r="A59" s="212"/>
      <c r="B59" s="578"/>
      <c r="D59" s="480"/>
      <c r="E59" s="114"/>
      <c r="I59" s="57"/>
    </row>
    <row r="60" spans="1:9" x14ac:dyDescent="0.2">
      <c r="A60" s="212" t="s">
        <v>567</v>
      </c>
      <c r="B60" s="580">
        <f>SQRT((Iout/Number_of_Phases)^2+(Iripple_Vinmin^2)/12)</f>
        <v>5</v>
      </c>
      <c r="C60" s="114" t="s">
        <v>1</v>
      </c>
      <c r="D60" s="305">
        <f>SQRT(Iout2^2+(Iripple2_Vinmin^2)/12)</f>
        <v>5.0000833326389005</v>
      </c>
      <c r="E60" s="114" t="s">
        <v>1</v>
      </c>
      <c r="F60" s="360"/>
      <c r="I60" s="57"/>
    </row>
    <row r="61" spans="1:9" x14ac:dyDescent="0.2">
      <c r="A61" s="212" t="s">
        <v>568</v>
      </c>
      <c r="B61" s="580">
        <f>SQRT((Iout/Number_of_Phases)^2+(Iripple_Vinnom^2)/12)</f>
        <v>5.0008415302072535</v>
      </c>
      <c r="C61" s="114" t="s">
        <v>1</v>
      </c>
      <c r="D61" s="305">
        <f>SQRT(Iout2^2+(Iripple2_Vinnom^2)/12)</f>
        <v>5.0008419501495389</v>
      </c>
      <c r="E61" s="114" t="s">
        <v>1</v>
      </c>
      <c r="F61" s="360"/>
      <c r="I61" s="57"/>
    </row>
    <row r="62" spans="1:9" x14ac:dyDescent="0.2">
      <c r="A62" s="212" t="s">
        <v>569</v>
      </c>
      <c r="B62" s="580">
        <f>SQRT((Iout/Number_of_Phases)^2+(Iripple_Vinmax^2)/12)</f>
        <v>5.0197334684678045</v>
      </c>
      <c r="C62" s="114" t="s">
        <v>1</v>
      </c>
      <c r="D62" s="305">
        <f>SQRT(Iout2^2+(Iripple2_Vinmax^2)/12)</f>
        <v>5.0197432973691072</v>
      </c>
      <c r="E62" s="114" t="s">
        <v>1</v>
      </c>
      <c r="F62" s="360"/>
      <c r="I62" s="57"/>
    </row>
    <row r="63" spans="1:9" x14ac:dyDescent="0.2">
      <c r="A63" s="212" t="s">
        <v>570</v>
      </c>
      <c r="B63" s="581">
        <f>B61^2*Rs</f>
        <v>0.1000336640409825</v>
      </c>
      <c r="C63" s="114" t="s">
        <v>116</v>
      </c>
      <c r="D63" s="581">
        <f>D61^2*Rs</f>
        <v>0.10003368084150178</v>
      </c>
      <c r="E63" s="114" t="s">
        <v>116</v>
      </c>
      <c r="F63" s="395" t="s">
        <v>670</v>
      </c>
      <c r="I63" s="57"/>
    </row>
    <row r="64" spans="1:9" x14ac:dyDescent="0.2">
      <c r="A64" s="212"/>
      <c r="B64" s="114"/>
      <c r="C64" s="114"/>
      <c r="D64" s="114"/>
      <c r="I64" s="57"/>
    </row>
    <row r="65" spans="1:16" x14ac:dyDescent="0.2">
      <c r="A65" s="212" t="s">
        <v>310</v>
      </c>
      <c r="B65" s="301">
        <f>MAX(B56:B58)</f>
        <v>1.5403535741737124</v>
      </c>
      <c r="C65" s="395" t="s">
        <v>1</v>
      </c>
      <c r="D65" s="301">
        <f t="shared" ref="D65" si="0">MAX(D56:D58)</f>
        <v>1.5407378939277481</v>
      </c>
      <c r="E65" s="114" t="s">
        <v>1</v>
      </c>
      <c r="F65" s="114" t="s">
        <v>671</v>
      </c>
      <c r="I65" s="57"/>
    </row>
    <row r="66" spans="1:16" x14ac:dyDescent="0.2">
      <c r="A66" s="212"/>
      <c r="B66" s="114"/>
      <c r="C66" s="114"/>
      <c r="D66" s="114"/>
      <c r="F66" s="114"/>
      <c r="G66" s="294"/>
      <c r="I66" s="57"/>
    </row>
    <row r="67" spans="1:16" x14ac:dyDescent="0.2">
      <c r="B67" s="409">
        <f>B56/(Iout/Number_of_Phases)</f>
        <v>0</v>
      </c>
      <c r="C67" s="583"/>
      <c r="D67" s="409">
        <f>D56/Iout2</f>
        <v>0.02</v>
      </c>
      <c r="F67" s="4"/>
      <c r="G67" s="410"/>
      <c r="I67" s="57"/>
    </row>
    <row r="68" spans="1:16" x14ac:dyDescent="0.2">
      <c r="A68" s="212" t="s">
        <v>775</v>
      </c>
      <c r="B68" s="409">
        <f>B57/(Iout/Number_of_Phases)</f>
        <v>6.3558515699333962E-2</v>
      </c>
      <c r="C68"/>
      <c r="D68" s="409">
        <f>D57/Iout2</f>
        <v>6.3574373612432608E-2</v>
      </c>
      <c r="F68" s="4"/>
      <c r="G68" s="410"/>
      <c r="I68" s="57"/>
    </row>
    <row r="69" spans="1:16" x14ac:dyDescent="0.2">
      <c r="A69" s="212"/>
      <c r="B69" s="409">
        <f>B58/(Iout/Number_of_Phases)</f>
        <v>0.30807071483474247</v>
      </c>
      <c r="C69"/>
      <c r="D69" s="409">
        <f>D58/Iout2</f>
        <v>0.3081475787855496</v>
      </c>
      <c r="F69" s="4"/>
      <c r="G69" s="410"/>
      <c r="I69" s="57"/>
    </row>
    <row r="70" spans="1:16" x14ac:dyDescent="0.2">
      <c r="A70" s="212"/>
      <c r="C70"/>
      <c r="I70" s="57"/>
    </row>
    <row r="71" spans="1:16" x14ac:dyDescent="0.2">
      <c r="A71" s="114" t="s">
        <v>648</v>
      </c>
      <c r="B71" s="408">
        <v>100</v>
      </c>
      <c r="C71" s="114" t="s">
        <v>465</v>
      </c>
      <c r="D71" s="582">
        <v>100</v>
      </c>
      <c r="E71" s="114" t="s">
        <v>465</v>
      </c>
      <c r="I71" s="57"/>
    </row>
    <row r="72" spans="1:16" x14ac:dyDescent="0.2">
      <c r="A72" s="212" t="s">
        <v>216</v>
      </c>
      <c r="B72" s="390">
        <f>Rdcr*(1+0.0039*(B71-25))</f>
        <v>5.1700000000000001E-3</v>
      </c>
      <c r="C72" s="213" t="s">
        <v>116</v>
      </c>
      <c r="D72" s="307">
        <f>Rdcr2*(1+0.0039*(D71-25))</f>
        <v>6.4625000000000004E-3</v>
      </c>
      <c r="E72" s="213" t="s">
        <v>116</v>
      </c>
      <c r="I72" s="57"/>
    </row>
    <row r="73" spans="1:16" ht="13.5" thickBot="1" x14ac:dyDescent="0.25">
      <c r="A73" s="314"/>
      <c r="B73" s="315"/>
      <c r="C73" s="61"/>
      <c r="D73" s="61"/>
      <c r="E73" s="61"/>
      <c r="F73" s="61"/>
      <c r="G73" s="61"/>
      <c r="H73" s="61"/>
      <c r="I73" s="62"/>
    </row>
    <row r="74" spans="1:16" x14ac:dyDescent="0.2">
      <c r="A74" s="2"/>
      <c r="B74" s="1"/>
      <c r="C74" s="1"/>
    </row>
    <row r="75" spans="1:16" ht="16.5" thickBot="1" x14ac:dyDescent="0.3">
      <c r="A75" s="525" t="s">
        <v>390</v>
      </c>
      <c r="B75" s="1"/>
      <c r="C75" s="1"/>
    </row>
    <row r="76" spans="1:16" x14ac:dyDescent="0.2">
      <c r="A76" s="91"/>
      <c r="B76" s="63"/>
      <c r="C76" s="63"/>
      <c r="D76" s="63"/>
      <c r="E76" s="63"/>
      <c r="F76" s="63"/>
      <c r="G76" s="63"/>
      <c r="H76" s="63"/>
      <c r="I76" s="64"/>
    </row>
    <row r="77" spans="1:16" x14ac:dyDescent="0.2">
      <c r="A77" s="212" t="s">
        <v>309</v>
      </c>
      <c r="B77" s="29">
        <f>'Design Regulator'!E17</f>
        <v>16</v>
      </c>
      <c r="C77" t="s">
        <v>1</v>
      </c>
      <c r="D77" s="317">
        <f>'Design Regulator'!J17</f>
        <v>16</v>
      </c>
      <c r="E77" s="114" t="s">
        <v>1</v>
      </c>
      <c r="F77" s="114" t="s">
        <v>516</v>
      </c>
      <c r="I77" s="57"/>
      <c r="K77" s="114"/>
      <c r="N77" s="114"/>
    </row>
    <row r="78" spans="1:16" x14ac:dyDescent="0.2">
      <c r="A78" s="212"/>
      <c r="C78"/>
      <c r="I78" s="57"/>
      <c r="K78" s="114"/>
      <c r="L78" s="114"/>
    </row>
    <row r="79" spans="1:16" x14ac:dyDescent="0.2">
      <c r="A79" s="212" t="s">
        <v>314</v>
      </c>
      <c r="B79" s="305">
        <f>CHOOSE(MODE, Ilimit_DC+Iripple_Vinmin/2, Ilimit_DC/Number_of_Phases+Iripple_Vinmin/2)</f>
        <v>16</v>
      </c>
      <c r="C79" t="s">
        <v>1</v>
      </c>
      <c r="D79" s="305">
        <f>Ilimit2_DC+Iripple2_Vinmin/2</f>
        <v>16.05</v>
      </c>
      <c r="E79" s="114" t="s">
        <v>1</v>
      </c>
      <c r="F79" s="114" t="s">
        <v>654</v>
      </c>
      <c r="I79" s="57"/>
      <c r="K79" s="4"/>
      <c r="L79" s="4"/>
      <c r="N79" s="311"/>
      <c r="P79" s="311"/>
    </row>
    <row r="80" spans="1:16" x14ac:dyDescent="0.2">
      <c r="A80" s="212" t="s">
        <v>316</v>
      </c>
      <c r="B80" s="305">
        <f>CHOOSE(MODE, Ilimit_DC+Iripple_Vinnom/2, Ilimit_DC/Number_of_Phases+Iripple_Vinnom/2)</f>
        <v>16.158896289248336</v>
      </c>
      <c r="C80" t="s">
        <v>1</v>
      </c>
      <c r="D80" s="305">
        <f>Ilimit2_DC+Iripple2_Vinnom/2</f>
        <v>16.158935934031081</v>
      </c>
      <c r="E80" s="114" t="s">
        <v>1</v>
      </c>
      <c r="I80" s="57"/>
      <c r="K80" s="4"/>
      <c r="L80" s="4"/>
      <c r="N80" s="311"/>
      <c r="P80" s="311"/>
    </row>
    <row r="81" spans="1:16" x14ac:dyDescent="0.2">
      <c r="A81" s="212" t="s">
        <v>315</v>
      </c>
      <c r="B81" s="305">
        <f>CHOOSE(MODE, Ilimit_DC+Iripple_Vinmax/2, Ilimit_DC/Number_of_Phases+Iripple_Vinmax/2)</f>
        <v>16.770176787086857</v>
      </c>
      <c r="C81" t="s">
        <v>1</v>
      </c>
      <c r="D81" s="305">
        <f>Ilimit2_DC+Iripple2_Vinmax/2</f>
        <v>16.770368946963874</v>
      </c>
      <c r="E81" s="114" t="s">
        <v>1</v>
      </c>
      <c r="I81" s="57"/>
      <c r="K81" s="4"/>
      <c r="L81" s="4"/>
      <c r="N81" s="311"/>
      <c r="P81" s="311"/>
    </row>
    <row r="82" spans="1:16" x14ac:dyDescent="0.2">
      <c r="A82" s="212"/>
      <c r="B82" s="4"/>
      <c r="C82" s="114"/>
      <c r="D82" s="114"/>
      <c r="I82" s="57"/>
    </row>
    <row r="83" spans="1:16" x14ac:dyDescent="0.2">
      <c r="I83" s="57"/>
    </row>
    <row r="84" spans="1:16" x14ac:dyDescent="0.2">
      <c r="A84" s="212" t="s">
        <v>656</v>
      </c>
      <c r="B84" s="481">
        <v>6.6000000000000003E-2</v>
      </c>
      <c r="C84" s="114" t="s">
        <v>0</v>
      </c>
      <c r="E84" s="114"/>
      <c r="I84" s="57"/>
    </row>
    <row r="85" spans="1:16" x14ac:dyDescent="0.2">
      <c r="A85" s="212" t="s">
        <v>655</v>
      </c>
      <c r="B85" s="481">
        <v>7.2999999999999995E-2</v>
      </c>
      <c r="C85" s="114" t="s">
        <v>0</v>
      </c>
      <c r="E85" s="114"/>
      <c r="F85" s="2"/>
      <c r="I85" s="57"/>
    </row>
    <row r="86" spans="1:16" x14ac:dyDescent="0.2">
      <c r="A86" s="212" t="s">
        <v>657</v>
      </c>
      <c r="B86" s="481">
        <v>0.08</v>
      </c>
      <c r="C86" s="114" t="s">
        <v>0</v>
      </c>
      <c r="E86" s="114"/>
      <c r="I86" s="57"/>
    </row>
    <row r="87" spans="1:16" x14ac:dyDescent="0.2">
      <c r="A87" s="212"/>
      <c r="B87" s="360"/>
      <c r="C87" s="114"/>
      <c r="E87" s="114"/>
      <c r="F87">
        <f>SENSING_TYPE</f>
        <v>1</v>
      </c>
      <c r="I87" s="57"/>
    </row>
    <row r="88" spans="1:16" x14ac:dyDescent="0.2">
      <c r="A88" s="212" t="s">
        <v>553</v>
      </c>
      <c r="B88" s="307">
        <f>Buck_CS_threshold/B79</f>
        <v>4.5624999999999997E-3</v>
      </c>
      <c r="C88" s="213" t="s">
        <v>116</v>
      </c>
      <c r="D88" s="307">
        <f>Buck_CS_threshold/D79</f>
        <v>4.5482866043613703E-3</v>
      </c>
      <c r="E88" s="213" t="s">
        <v>116</v>
      </c>
      <c r="I88" s="57"/>
    </row>
    <row r="89" spans="1:16" x14ac:dyDescent="0.2">
      <c r="A89" s="212" t="s">
        <v>554</v>
      </c>
      <c r="B89" s="307">
        <f>Buck_CS_threshold/B80</f>
        <v>4.5176352823411642E-3</v>
      </c>
      <c r="C89" s="213" t="s">
        <v>116</v>
      </c>
      <c r="D89" s="307">
        <f>Buck_CS_threshold/D80</f>
        <v>4.5176241986491427E-3</v>
      </c>
      <c r="E89" s="213" t="s">
        <v>116</v>
      </c>
      <c r="I89" s="57"/>
    </row>
    <row r="90" spans="1:16" x14ac:dyDescent="0.2">
      <c r="A90" s="212" t="s">
        <v>555</v>
      </c>
      <c r="B90" s="307">
        <f>Buck_CS_threshold/B81</f>
        <v>4.3529654413786778E-3</v>
      </c>
      <c r="C90" s="213" t="s">
        <v>116</v>
      </c>
      <c r="D90" s="307">
        <f>Buck_CS_threshold/D81</f>
        <v>4.3529155638055298E-3</v>
      </c>
      <c r="E90" s="213" t="s">
        <v>116</v>
      </c>
      <c r="I90" s="57"/>
    </row>
    <row r="91" spans="1:16" x14ac:dyDescent="0.2">
      <c r="A91" s="212"/>
      <c r="B91" s="30"/>
      <c r="C91" s="213"/>
      <c r="E91" s="213"/>
      <c r="I91" s="57"/>
    </row>
    <row r="92" spans="1:16" x14ac:dyDescent="0.2">
      <c r="A92" s="212" t="s">
        <v>313</v>
      </c>
      <c r="B92" s="308">
        <f>B89</f>
        <v>4.5176352823411642E-3</v>
      </c>
      <c r="C92" s="213" t="s">
        <v>116</v>
      </c>
      <c r="D92" s="307">
        <f>D89</f>
        <v>4.5176241986491427E-3</v>
      </c>
      <c r="E92" s="213" t="s">
        <v>116</v>
      </c>
      <c r="F92" s="114" t="s">
        <v>658</v>
      </c>
      <c r="I92" s="57"/>
    </row>
    <row r="93" spans="1:16" x14ac:dyDescent="0.2">
      <c r="A93" s="212" t="s">
        <v>167</v>
      </c>
      <c r="B93" s="664">
        <f>CHOOSE(SENSING_TYPE, 'Design Regulator'!E19/1000, Rdcr)</f>
        <v>4.0000000000000001E-3</v>
      </c>
      <c r="C93" s="213" t="s">
        <v>116</v>
      </c>
      <c r="D93" s="584">
        <f>CHOOSE(SENSING_TYPE, 'Design Regulator'!J19/1000, Rdcr2)</f>
        <v>4.0000000000000001E-3</v>
      </c>
      <c r="E93" s="213" t="s">
        <v>116</v>
      </c>
      <c r="F93" s="114" t="s">
        <v>317</v>
      </c>
      <c r="I93" s="57"/>
      <c r="K93" s="114"/>
      <c r="L93" s="114"/>
    </row>
    <row r="94" spans="1:16" x14ac:dyDescent="0.2">
      <c r="A94" s="212"/>
      <c r="B94" s="411"/>
      <c r="C94" s="213"/>
      <c r="E94" s="213"/>
      <c r="I94" s="57"/>
      <c r="K94" s="114"/>
      <c r="L94" s="114"/>
    </row>
    <row r="95" spans="1:16" x14ac:dyDescent="0.2">
      <c r="A95" s="212" t="s">
        <v>659</v>
      </c>
      <c r="B95" s="305">
        <f>Buck_CS_threshold/Rs</f>
        <v>18.25</v>
      </c>
      <c r="C95" s="114" t="s">
        <v>1</v>
      </c>
      <c r="D95" s="305">
        <f>Buck_CS_threshold/Rs_Ch2</f>
        <v>18.25</v>
      </c>
      <c r="E95" s="114" t="s">
        <v>1</v>
      </c>
      <c r="F95" s="114" t="s">
        <v>660</v>
      </c>
      <c r="I95" s="57"/>
    </row>
    <row r="96" spans="1:16" x14ac:dyDescent="0.2">
      <c r="A96" s="212"/>
      <c r="E96" s="2"/>
      <c r="I96" s="57"/>
    </row>
    <row r="97" spans="1:12" ht="15.75" x14ac:dyDescent="0.3">
      <c r="A97" s="212" t="s">
        <v>429</v>
      </c>
      <c r="B97" s="312">
        <f>Number_of_Phases*(Buck_CS_threshold/Rs-Iripple_Vinmin/2)</f>
        <v>18.25</v>
      </c>
      <c r="C97" t="s">
        <v>1</v>
      </c>
      <c r="D97" s="312">
        <f>Buck_CS_threshold/Rs_Ch2-Iripple2_Vinmin/2</f>
        <v>18.2</v>
      </c>
      <c r="E97" t="s">
        <v>1</v>
      </c>
      <c r="F97" s="114" t="s">
        <v>431</v>
      </c>
      <c r="I97" s="57"/>
    </row>
    <row r="98" spans="1:12" x14ac:dyDescent="0.2">
      <c r="A98" s="212" t="s">
        <v>459</v>
      </c>
      <c r="B98" s="312">
        <f>Number_of_Phases*(Buck_CS_threshold/Rs-Iripple_Vinnom/2)</f>
        <v>18.091103710751664</v>
      </c>
      <c r="C98" t="s">
        <v>1</v>
      </c>
      <c r="D98" s="312">
        <f>Buck_CS_threshold/Rs_Ch2-Iripple2_Vinnom/2</f>
        <v>18.091064065968919</v>
      </c>
      <c r="E98" t="s">
        <v>1</v>
      </c>
      <c r="I98" s="57"/>
    </row>
    <row r="99" spans="1:12" x14ac:dyDescent="0.2">
      <c r="A99" s="212" t="s">
        <v>430</v>
      </c>
      <c r="B99" s="312">
        <f>Number_of_Phases*(Buck_CS_threshold/Rs-Iripple_Vinmax/2)</f>
        <v>17.479823212913143</v>
      </c>
      <c r="C99" t="s">
        <v>1</v>
      </c>
      <c r="D99" s="312">
        <f>Buck_CS_threshold/Rs_Ch2-Iripple2_Vinmax/2</f>
        <v>17.479631053036126</v>
      </c>
      <c r="E99" t="s">
        <v>1</v>
      </c>
      <c r="I99" s="57"/>
    </row>
    <row r="100" spans="1:12" x14ac:dyDescent="0.2">
      <c r="A100" s="212"/>
      <c r="B100" s="48"/>
      <c r="C100"/>
      <c r="D100" s="48"/>
      <c r="I100" s="57"/>
    </row>
    <row r="101" spans="1:12" x14ac:dyDescent="0.2">
      <c r="A101" s="212" t="s">
        <v>664</v>
      </c>
      <c r="B101" s="520">
        <f>SQRT((Iout_OCP_Vinmin/Number_of_Phases)^2+(Iripple_Vinmin^2)/12)</f>
        <v>18.25</v>
      </c>
      <c r="C101" t="s">
        <v>1</v>
      </c>
      <c r="D101" s="520">
        <f>SQRT(Iout2_OCP_Vinmin^2+(Iripple2_Vinmin^2)/12)</f>
        <v>18.200022893758494</v>
      </c>
      <c r="E101" t="s">
        <v>1</v>
      </c>
      <c r="I101" s="57"/>
    </row>
    <row r="102" spans="1:12" x14ac:dyDescent="0.2">
      <c r="A102" s="212" t="s">
        <v>665</v>
      </c>
      <c r="B102" s="520">
        <f>SQRT((Iout_OCP_Vinnom/Number_of_Phases)^2+(Iripple_Vinnom^2)/12)</f>
        <v>18.091336310052341</v>
      </c>
      <c r="C102" t="s">
        <v>1</v>
      </c>
      <c r="D102" s="520">
        <f>SQRT(Iout2_OCP_Vinnom^2+(Iripple2_Vinnom^2)/12)</f>
        <v>18.091296781860812</v>
      </c>
      <c r="E102" t="s">
        <v>1</v>
      </c>
      <c r="I102" s="57"/>
    </row>
    <row r="103" spans="1:12" x14ac:dyDescent="0.2">
      <c r="A103" s="212" t="s">
        <v>666</v>
      </c>
      <c r="B103" s="520">
        <f>SQRT((Iout_OCP_Vinmax/Number_of_Phases)^2+(Iripple_Vinmax^2)/12)</f>
        <v>17.485478078941764</v>
      </c>
      <c r="C103" t="s">
        <v>1</v>
      </c>
      <c r="D103" s="520">
        <f>SQRT(Iout2_OCP_Vinmax^2+(Iripple2_Vinmax^2)/12)</f>
        <v>17.485288802926501</v>
      </c>
      <c r="E103" t="s">
        <v>1</v>
      </c>
      <c r="I103" s="57"/>
    </row>
    <row r="104" spans="1:12" x14ac:dyDescent="0.2">
      <c r="A104" s="212"/>
      <c r="B104" s="48"/>
      <c r="C104"/>
      <c r="D104" s="48"/>
      <c r="I104" s="57"/>
    </row>
    <row r="105" spans="1:12" x14ac:dyDescent="0.2">
      <c r="A105" s="212" t="s">
        <v>661</v>
      </c>
      <c r="B105" s="520">
        <f>B101^2*Rs</f>
        <v>1.3322499999999999</v>
      </c>
      <c r="C105" s="114" t="s">
        <v>116</v>
      </c>
      <c r="D105" s="520">
        <f>D101^2*Rs_Ch2</f>
        <v>1.3249633333333333</v>
      </c>
      <c r="E105" s="114" t="s">
        <v>116</v>
      </c>
      <c r="F105" s="114" t="s">
        <v>667</v>
      </c>
      <c r="I105" s="57"/>
    </row>
    <row r="106" spans="1:12" x14ac:dyDescent="0.2">
      <c r="A106" s="212" t="s">
        <v>662</v>
      </c>
      <c r="B106" s="520">
        <f>B102^2*Rs</f>
        <v>1.309185797933673</v>
      </c>
      <c r="C106" t="s">
        <v>116</v>
      </c>
      <c r="D106" s="520">
        <f>D102^2*Rs_Ch2</f>
        <v>1.3091800769974695</v>
      </c>
      <c r="E106" t="s">
        <v>116</v>
      </c>
      <c r="I106" s="57"/>
    </row>
    <row r="107" spans="1:12" x14ac:dyDescent="0.2">
      <c r="A107" s="212" t="s">
        <v>663</v>
      </c>
      <c r="B107" s="520">
        <f>B103^2*Rs</f>
        <v>1.2229677745966119</v>
      </c>
      <c r="C107" t="s">
        <v>116</v>
      </c>
      <c r="D107" s="520">
        <f>D103^2*Rs_Ch2</f>
        <v>1.2229412980869874</v>
      </c>
      <c r="E107" t="s">
        <v>116</v>
      </c>
      <c r="I107" s="57"/>
    </row>
    <row r="108" spans="1:12" ht="13.5" thickBot="1" x14ac:dyDescent="0.25">
      <c r="A108" s="60"/>
      <c r="B108" s="61"/>
      <c r="C108" s="61"/>
      <c r="D108" s="61"/>
      <c r="E108" s="118"/>
      <c r="F108" s="61"/>
      <c r="G108" s="61"/>
      <c r="H108" s="61"/>
      <c r="I108" s="62"/>
    </row>
    <row r="110" spans="1:12" ht="16.5" thickBot="1" x14ac:dyDescent="0.3">
      <c r="A110" s="534" t="s">
        <v>139</v>
      </c>
      <c r="D110" s="2"/>
    </row>
    <row r="111" spans="1:12" x14ac:dyDescent="0.2">
      <c r="A111" s="211" t="s">
        <v>320</v>
      </c>
      <c r="B111" s="589">
        <f>Iripple_Vinmin/SQRT(12)</f>
        <v>0</v>
      </c>
      <c r="C111" s="313" t="s">
        <v>1</v>
      </c>
      <c r="D111" s="589">
        <f>Iripple2_Vinmin/SQRT(12)</f>
        <v>2.8867513459481291E-2</v>
      </c>
      <c r="E111" s="313" t="s">
        <v>1</v>
      </c>
      <c r="F111" s="117" t="s">
        <v>319</v>
      </c>
      <c r="G111" s="63"/>
      <c r="H111" s="63"/>
      <c r="I111" s="64"/>
      <c r="L111" s="4"/>
    </row>
    <row r="112" spans="1:12" x14ac:dyDescent="0.2">
      <c r="A112" s="212" t="s">
        <v>321</v>
      </c>
      <c r="B112" s="520">
        <f>Iripple_Vinnom/SQRT(12)</f>
        <v>9.17388153707588E-2</v>
      </c>
      <c r="C112" s="114" t="s">
        <v>1</v>
      </c>
      <c r="D112" s="520">
        <f>Iripple2_Vinnom/SQRT(12)</f>
        <v>9.1761704296749527E-2</v>
      </c>
      <c r="E112" s="114" t="s">
        <v>1</v>
      </c>
      <c r="F112" s="114"/>
      <c r="I112" s="57"/>
      <c r="L112" s="4"/>
    </row>
    <row r="113" spans="1:12" x14ac:dyDescent="0.2">
      <c r="A113" s="212" t="s">
        <v>322</v>
      </c>
      <c r="B113" s="520">
        <f>Iripple_Vinmax/SQRT(12)</f>
        <v>0.44466177534819756</v>
      </c>
      <c r="C113" s="114" t="s">
        <v>1</v>
      </c>
      <c r="D113" s="520">
        <f>Iripple2_Vinmax/SQRT(12)</f>
        <v>0.44477271890492126</v>
      </c>
      <c r="E113" s="114" t="s">
        <v>1</v>
      </c>
      <c r="F113" s="114"/>
      <c r="I113" s="57"/>
      <c r="L113" s="4"/>
    </row>
    <row r="114" spans="1:12" x14ac:dyDescent="0.2">
      <c r="A114" s="212" t="s">
        <v>558</v>
      </c>
      <c r="B114" s="520">
        <f>MAX(B111:B113)</f>
        <v>0.44466177534819756</v>
      </c>
      <c r="C114" s="114" t="s">
        <v>1</v>
      </c>
      <c r="D114" s="520">
        <f>MAX(D111:D113)</f>
        <v>0.44477271890492126</v>
      </c>
      <c r="E114" s="114" t="s">
        <v>1</v>
      </c>
      <c r="F114" s="114"/>
      <c r="I114" s="57"/>
      <c r="L114" s="4"/>
    </row>
    <row r="115" spans="1:12" x14ac:dyDescent="0.2">
      <c r="A115" s="212"/>
      <c r="B115" s="48"/>
      <c r="C115" s="114"/>
      <c r="F115" s="114"/>
      <c r="I115" s="57"/>
      <c r="L115" s="4"/>
    </row>
    <row r="116" spans="1:12" x14ac:dyDescent="0.2">
      <c r="A116" s="212" t="s">
        <v>21</v>
      </c>
      <c r="B116" s="413">
        <f>'Design Regulator'!E33/1000</f>
        <v>0.05</v>
      </c>
      <c r="C116" t="s">
        <v>0</v>
      </c>
      <c r="D116" s="317">
        <f>'Design Regulator'!J33/1000</f>
        <v>0.05</v>
      </c>
      <c r="E116" t="s">
        <v>0</v>
      </c>
      <c r="F116" s="114" t="s">
        <v>432</v>
      </c>
      <c r="I116" s="57"/>
    </row>
    <row r="117" spans="1:12" x14ac:dyDescent="0.2">
      <c r="A117" s="212"/>
      <c r="B117" s="114"/>
      <c r="C117"/>
      <c r="F117" s="114"/>
      <c r="I117" s="57"/>
    </row>
    <row r="118" spans="1:12" x14ac:dyDescent="0.2">
      <c r="A118" s="212" t="s">
        <v>415</v>
      </c>
      <c r="B118" s="412">
        <f>Vo1_ripple*1000</f>
        <v>50</v>
      </c>
      <c r="C118" s="114" t="s">
        <v>292</v>
      </c>
      <c r="D118" s="310">
        <f>Vo2_ripple*1000</f>
        <v>50</v>
      </c>
      <c r="E118" s="114" t="s">
        <v>292</v>
      </c>
      <c r="F118" s="114" t="s">
        <v>433</v>
      </c>
      <c r="I118" s="57"/>
      <c r="L118" s="4"/>
    </row>
    <row r="119" spans="1:12" x14ac:dyDescent="0.2">
      <c r="A119" s="56"/>
      <c r="B119" s="114"/>
      <c r="F119" s="114"/>
      <c r="I119" s="57"/>
    </row>
    <row r="120" spans="1:12" x14ac:dyDescent="0.2">
      <c r="A120" s="66" t="s">
        <v>22</v>
      </c>
      <c r="B120" s="422">
        <f>Iripple_Vinnom/(Fsw*8*Vo1_ripple)</f>
        <v>3.9724072312083725E-7</v>
      </c>
      <c r="C120" t="s">
        <v>24</v>
      </c>
      <c r="D120" s="422">
        <f>Iripple2_Vinnom/(Fsw*8*Vo2_ripple)</f>
        <v>3.973398350777038E-7</v>
      </c>
      <c r="E120" t="s">
        <v>24</v>
      </c>
      <c r="F120" s="114" t="s">
        <v>813</v>
      </c>
      <c r="H120">
        <f>Vo2_ripple</f>
        <v>0.05</v>
      </c>
      <c r="I120" s="57">
        <v>1</v>
      </c>
      <c r="K120" s="1"/>
    </row>
    <row r="121" spans="1:12" x14ac:dyDescent="0.2">
      <c r="A121" s="212" t="s">
        <v>564</v>
      </c>
      <c r="B121" s="478">
        <f>IF(Cout_min*1000000&lt;2, 2.2,Cout_min*1000000)</f>
        <v>2.2000000000000002</v>
      </c>
      <c r="C121" s="42" t="s">
        <v>23</v>
      </c>
      <c r="D121" s="478">
        <f>IF(Cout2_min*1000000&lt;2, 2.2,Cout2_min*1000000)</f>
        <v>2.2000000000000002</v>
      </c>
      <c r="E121" s="42" t="s">
        <v>23</v>
      </c>
      <c r="I121" s="57"/>
      <c r="K121" s="1"/>
    </row>
    <row r="122" spans="1:12" x14ac:dyDescent="0.2">
      <c r="A122" s="212" t="s">
        <v>25</v>
      </c>
      <c r="B122" s="423">
        <f>'Design Regulator'!E35/1000000</f>
        <v>1.4999999999999999E-4</v>
      </c>
      <c r="C122" t="s">
        <v>24</v>
      </c>
      <c r="D122" s="423">
        <f>'Design Regulator'!J35/1000000</f>
        <v>1.2E-4</v>
      </c>
      <c r="E122" t="s">
        <v>24</v>
      </c>
      <c r="F122" s="114" t="s">
        <v>812</v>
      </c>
      <c r="I122" s="57">
        <v>1</v>
      </c>
    </row>
    <row r="123" spans="1:12" x14ac:dyDescent="0.2">
      <c r="A123" s="66" t="s">
        <v>48</v>
      </c>
      <c r="B123" s="479">
        <f>SQRT((Vo1_ripple/Iripple_Vinnom)^2-(1/(Fsw*Cout*8))^2)</f>
        <v>0.15733477761712347</v>
      </c>
      <c r="C123" s="213" t="s">
        <v>116</v>
      </c>
      <c r="D123" s="479">
        <f>SQRT((Vo2_ripple/Iripple2_Vinnom)^2-(1/(Fsw*Cout2*8))^2)</f>
        <v>0.1572952215264326</v>
      </c>
      <c r="E123" s="213" t="s">
        <v>116</v>
      </c>
      <c r="F123" s="114" t="s">
        <v>239</v>
      </c>
      <c r="I123" s="57">
        <v>1</v>
      </c>
    </row>
    <row r="124" spans="1:12" x14ac:dyDescent="0.2">
      <c r="A124" s="2"/>
      <c r="B124" s="523"/>
      <c r="C124" s="213"/>
      <c r="D124" s="523"/>
      <c r="E124" s="213"/>
      <c r="F124" s="114"/>
      <c r="I124" s="57"/>
    </row>
    <row r="125" spans="1:12" x14ac:dyDescent="0.2">
      <c r="A125" s="476" t="s">
        <v>514</v>
      </c>
      <c r="B125" s="477">
        <f>IF(OR(CoutEsrMax&gt;0.3, CoutEsrMax&lt;0, (ISERROR(CoutEsrMax))), "N/A", CoutEsrMax*1000)</f>
        <v>157.33477761712348</v>
      </c>
      <c r="C125" s="45" t="s">
        <v>318</v>
      </c>
      <c r="D125" s="477">
        <f>IF(OR(Cout2EsrMax&gt;0.3, Cout2EsrMax&lt;0, (ISERROR(Cout2EsrMax))), "N/A", Cout2EsrMax*1000)</f>
        <v>157.29522152643261</v>
      </c>
      <c r="E125" s="45" t="s">
        <v>318</v>
      </c>
      <c r="F125" s="114"/>
      <c r="I125" s="57"/>
    </row>
    <row r="126" spans="1:12" x14ac:dyDescent="0.2">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25">
      <c r="A127" s="381" t="s">
        <v>194</v>
      </c>
      <c r="B127" s="414">
        <f>Iripple_Vinnom*SQRT(Cout_ESR^2+(1/(8*Fsw*Cout))^2)</f>
        <v>6.4923173556800527E-4</v>
      </c>
      <c r="C127" s="105" t="s">
        <v>39</v>
      </c>
      <c r="D127" s="414">
        <f>Iripple2_Vinnom*SQRT(Cout2_ESR^2+(1/(8*Fsw*Cout2))^2)</f>
        <v>6.5694721021089834E-4</v>
      </c>
      <c r="E127" s="105" t="s">
        <v>39</v>
      </c>
      <c r="F127" s="61"/>
      <c r="G127" s="61"/>
      <c r="H127" s="61"/>
      <c r="I127" s="62"/>
      <c r="L127" t="b">
        <f>OR(CoutEsrMax&gt;0.3,CoutEsrMax&lt;0)</f>
        <v>0</v>
      </c>
    </row>
    <row r="128" spans="1:12" x14ac:dyDescent="0.2">
      <c r="K128" t="b">
        <f>OR(TRUE, FALSE, TRUE)</f>
        <v>1</v>
      </c>
    </row>
    <row r="129" spans="1:16" ht="16.5" thickBot="1" x14ac:dyDescent="0.3">
      <c r="A129" s="534" t="s">
        <v>140</v>
      </c>
    </row>
    <row r="130" spans="1:16" ht="15.75" x14ac:dyDescent="0.25">
      <c r="A130" s="95"/>
      <c r="B130" s="96"/>
      <c r="C130" s="316"/>
      <c r="D130" s="96"/>
      <c r="E130" s="96"/>
      <c r="F130" s="96"/>
      <c r="G130" s="96"/>
      <c r="H130" s="96"/>
      <c r="I130" s="97"/>
      <c r="K130" s="2" t="s">
        <v>836</v>
      </c>
    </row>
    <row r="131" spans="1:16" x14ac:dyDescent="0.2">
      <c r="A131" s="212" t="s">
        <v>556</v>
      </c>
      <c r="B131" s="112" t="e">
        <f>SQRT(D1_Vinmin_2*(Iout^2*(1-D1_Vinmin_2)+Iripple_Vinmin^2/12))</f>
        <v>#NUM!</v>
      </c>
      <c r="C131" s="93" t="s">
        <v>1</v>
      </c>
      <c r="D131" s="112" t="e">
        <f>SQRT(D2_Vinmin_2*(Iout2^2*(1-D2_Vinmin_2)+Iripple2_Vinmin^2/12))</f>
        <v>#NUM!</v>
      </c>
      <c r="E131" s="93" t="s">
        <v>1</v>
      </c>
      <c r="F131" s="2" t="s">
        <v>837</v>
      </c>
      <c r="G131" s="360"/>
      <c r="H131" s="116"/>
      <c r="I131" s="99"/>
      <c r="K131" s="656" t="e">
        <f>SQRT(Iout^2*D1_Vinmin*(1-D1_Vinmin)+Iout2^2*D2_Vinmin*(1-D2_Vinmin)-2*Iout*Iout2*D1_Vinmin*D2_Vinmin)</f>
        <v>#NUM!</v>
      </c>
      <c r="L131" s="93" t="s">
        <v>1</v>
      </c>
      <c r="M131" s="305" t="e">
        <f>SQRT(Iout^2*D1_Vinmin*(1-D1_Vinmin)+Iout2^2*D2_Vinmin*(1-D2_Vinmin)-2*Iout*Iout2*(0.5-D2_Vinmin*(1-D1_Vinmin)))</f>
        <v>#NUM!</v>
      </c>
      <c r="N131" t="s">
        <v>1</v>
      </c>
    </row>
    <row r="132" spans="1:16" x14ac:dyDescent="0.2">
      <c r="A132" s="212" t="s">
        <v>557</v>
      </c>
      <c r="B132" s="112">
        <f>SQRT(D1_Vinnom_2*(Iout^2*(1-D1_Vinnom_2)+Iripple_Vinnom^2/12))</f>
        <v>1.0579410951648558</v>
      </c>
      <c r="C132" s="93" t="s">
        <v>1</v>
      </c>
      <c r="D132" s="112">
        <f>SQRT(D2_Vinnom_2*(Iout2^2*(1-D2_Vinnom_2)+Iripple2_Vinnom^2/12))</f>
        <v>1.0553917447885011</v>
      </c>
      <c r="E132" s="93" t="s">
        <v>1</v>
      </c>
      <c r="G132" s="360"/>
      <c r="I132" s="99"/>
      <c r="K132" s="305" t="e">
        <f>SQRT(Iout^2*D1_Vinnom*(1-D1_Vinnom)+Iout2^2*D2_Vinnom*(1-D2_Vinnom)-2*Iout*Iout2*D1_Vinnom*D2_Vinnom)</f>
        <v>#NUM!</v>
      </c>
      <c r="L132" s="93" t="s">
        <v>1</v>
      </c>
    </row>
    <row r="133" spans="1:16" x14ac:dyDescent="0.2">
      <c r="A133" s="212" t="s">
        <v>835</v>
      </c>
      <c r="B133" s="112">
        <f>SQRT(D1_Vinmax_2*(Iout^2*(1-D1_Vinmax_2)+Iripple_Vinmax^2/12))</f>
        <v>2.1394847746088832</v>
      </c>
      <c r="C133" s="93" t="s">
        <v>1</v>
      </c>
      <c r="D133" s="112">
        <f>SQRT(D2_Vinmax_2*(Iout2^2*(1-D2_Vinmax_2)+Iripple2_Vinmax^2/12))</f>
        <v>2.1389044703055977</v>
      </c>
      <c r="E133" s="93" t="s">
        <v>1</v>
      </c>
      <c r="G133" s="360"/>
      <c r="I133" s="99"/>
      <c r="K133" s="305" t="e">
        <f>SQRT(Iout^2*D1_Vinmax*(1-D1_Vinmax)+Iout2^2*D2_Vinmax*(1-D2_Vinmax)-2*Iout*Iout2*D1_Vinmax*D2_Vinmax)</f>
        <v>#NUM!</v>
      </c>
      <c r="L133" s="93" t="s">
        <v>1</v>
      </c>
    </row>
    <row r="134" spans="1:16" x14ac:dyDescent="0.2">
      <c r="A134" s="212" t="s">
        <v>562</v>
      </c>
      <c r="B134" s="655" t="e">
        <f>MAX(B131:B133, D131:D133)</f>
        <v>#NUM!</v>
      </c>
      <c r="C134" s="42" t="s">
        <v>1</v>
      </c>
      <c r="I134" s="99"/>
      <c r="K134" s="657" t="e">
        <f>MAX(K131:K133)</f>
        <v>#NUM!</v>
      </c>
      <c r="L134" s="42" t="s">
        <v>1</v>
      </c>
    </row>
    <row r="135" spans="1:16" x14ac:dyDescent="0.2">
      <c r="A135" s="114"/>
      <c r="B135" s="658"/>
      <c r="C135" s="42"/>
      <c r="D135" s="2"/>
      <c r="F135">
        <f>Number_of_Phases*D1_Vinnom</f>
        <v>0.95238095238095233</v>
      </c>
      <c r="G135" t="s">
        <v>838</v>
      </c>
      <c r="I135" s="99"/>
      <c r="K135" s="657"/>
      <c r="L135" s="42"/>
      <c r="P135" s="4"/>
    </row>
    <row r="136" spans="1:16" x14ac:dyDescent="0.2">
      <c r="A136" s="114" t="s">
        <v>840</v>
      </c>
      <c r="B136" s="305">
        <f>Iout*SQRT((D1_Vinnom-F136/Number_of_Phases)*((F136+1)/Number_of_Phases-D1_Vinnom))</f>
        <v>1.0647942749999004</v>
      </c>
      <c r="C136" t="s">
        <v>1</v>
      </c>
      <c r="D136" s="2"/>
      <c r="F136">
        <f>FLOOR(Number_of_Phases*D1_Vinnom,1)</f>
        <v>0</v>
      </c>
      <c r="G136" t="s">
        <v>839</v>
      </c>
      <c r="I136" s="99"/>
      <c r="K136" s="657"/>
      <c r="L136" s="42"/>
      <c r="P136" s="4"/>
    </row>
    <row r="137" spans="1:16" x14ac:dyDescent="0.2">
      <c r="A137" s="114" t="s">
        <v>842</v>
      </c>
      <c r="B137">
        <f>Iout/2/Number_of_Phases</f>
        <v>2.5</v>
      </c>
      <c r="C137" s="114" t="s">
        <v>1</v>
      </c>
      <c r="I137" s="99"/>
      <c r="K137" s="657"/>
      <c r="L137" s="42"/>
      <c r="P137" s="4"/>
    </row>
    <row r="138" spans="1:16" x14ac:dyDescent="0.2">
      <c r="A138" s="114" t="s">
        <v>841</v>
      </c>
      <c r="B138" s="659" t="e">
        <f>CHOOSE(MODE, B134, B137)</f>
        <v>#NUM!</v>
      </c>
      <c r="C138" s="42" t="s">
        <v>1</v>
      </c>
      <c r="D138" s="2" t="s">
        <v>585</v>
      </c>
      <c r="I138" s="99"/>
      <c r="K138" s="657"/>
      <c r="L138" s="42"/>
      <c r="P138" s="4"/>
    </row>
    <row r="139" spans="1:16" x14ac:dyDescent="0.2">
      <c r="A139" s="114"/>
      <c r="B139" s="658"/>
      <c r="C139" s="42"/>
      <c r="D139" s="2"/>
      <c r="I139" s="99"/>
      <c r="K139" s="657"/>
      <c r="L139" s="42"/>
      <c r="P139" s="4"/>
    </row>
    <row r="140" spans="1:16" x14ac:dyDescent="0.2">
      <c r="A140" s="98" t="s">
        <v>220</v>
      </c>
      <c r="B140" s="317">
        <f>'Design Regulator'!E42/1000</f>
        <v>1</v>
      </c>
      <c r="C140" t="s">
        <v>39</v>
      </c>
      <c r="F140" s="114" t="s">
        <v>563</v>
      </c>
      <c r="I140" s="99"/>
    </row>
    <row r="141" spans="1:16" x14ac:dyDescent="0.2">
      <c r="A141" s="114"/>
      <c r="B141" s="524"/>
      <c r="C141" s="93"/>
      <c r="G141" s="360"/>
      <c r="I141" s="99"/>
    </row>
    <row r="142" spans="1:16" x14ac:dyDescent="0.2">
      <c r="A142" s="476" t="s">
        <v>572</v>
      </c>
      <c r="B142" s="531">
        <f>Iout/Number_of_Phases*D1_Vinmax*(1-D1_Vinmax)/(Vinripple1*Fsw)</f>
        <v>4.4378698224852062E-7</v>
      </c>
      <c r="C142" s="93" t="s">
        <v>24</v>
      </c>
      <c r="F142" s="114" t="s">
        <v>580</v>
      </c>
      <c r="I142" s="99"/>
      <c r="K142" s="8"/>
    </row>
    <row r="143" spans="1:16" x14ac:dyDescent="0.2">
      <c r="A143" s="476" t="s">
        <v>576</v>
      </c>
      <c r="B143" s="532">
        <f>MAX(Iout/Number_of_Phases*0.5*(1-0.5)/(Vinripple1*Fsw), Iout2*0.5*(1-0.5)/(Vinripple1*Fsw))</f>
        <v>6.2500000000000005E-7</v>
      </c>
      <c r="C143" s="42" t="s">
        <v>24</v>
      </c>
      <c r="F143" s="114" t="s">
        <v>573</v>
      </c>
      <c r="G143" s="30"/>
      <c r="I143" s="99"/>
      <c r="K143" s="8"/>
    </row>
    <row r="144" spans="1:16" x14ac:dyDescent="0.2">
      <c r="A144" s="476" t="s">
        <v>219</v>
      </c>
      <c r="B144" s="30">
        <f>IF(VIN_max&lt;2*Vout, B142,B143)</f>
        <v>4.4378698224852062E-7</v>
      </c>
      <c r="C144" s="42" t="s">
        <v>24</v>
      </c>
      <c r="G144" s="30"/>
      <c r="I144" s="99"/>
      <c r="K144" s="8"/>
    </row>
    <row r="145" spans="1:11" x14ac:dyDescent="0.2">
      <c r="A145" s="476" t="s">
        <v>513</v>
      </c>
      <c r="B145" s="654">
        <f>IF(Cinmin*1000000&lt;10, 10,Cinmin*1000000)</f>
        <v>10</v>
      </c>
      <c r="C145" s="42" t="s">
        <v>23</v>
      </c>
      <c r="F145" s="114" t="s">
        <v>585</v>
      </c>
      <c r="I145" s="99"/>
    </row>
    <row r="146" spans="1:11" x14ac:dyDescent="0.2">
      <c r="A146" s="100" t="s">
        <v>57</v>
      </c>
      <c r="B146" s="424">
        <f>'Design Regulator'!E44/1000000</f>
        <v>5.0000000000000002E-5</v>
      </c>
      <c r="C146" s="93" t="s">
        <v>24</v>
      </c>
      <c r="F146" t="s">
        <v>147</v>
      </c>
      <c r="I146" s="99"/>
    </row>
    <row r="147" spans="1:11" x14ac:dyDescent="0.2">
      <c r="A147" s="476" t="s">
        <v>574</v>
      </c>
      <c r="B147" s="307">
        <f>-(Iout/Number_of_Phases*D1_Vinmax*(1-D1_Vinmax)/(Cin*Fsw)-Vinripple1)/(Iout/Number_of_Phases+Iripple_Vinmax/2)</f>
        <v>0.17176670610388883</v>
      </c>
      <c r="C147" s="213" t="s">
        <v>116</v>
      </c>
      <c r="I147" s="99"/>
    </row>
    <row r="148" spans="1:11" x14ac:dyDescent="0.2">
      <c r="A148" s="476" t="s">
        <v>575</v>
      </c>
      <c r="B148" s="307">
        <f>-(Iout/Number_of_Phases*0.5*(1-0.5)/(Cin*Fsw)-Vinripple1)/(Iout/Number_of_Phases+Iripple_Vinmax/2)</f>
        <v>0.17113860396962835</v>
      </c>
      <c r="C148" s="213" t="s">
        <v>116</v>
      </c>
      <c r="F148" s="114" t="s">
        <v>581</v>
      </c>
      <c r="I148" s="99"/>
    </row>
    <row r="149" spans="1:11" x14ac:dyDescent="0.2">
      <c r="A149" s="476" t="s">
        <v>221</v>
      </c>
      <c r="B149" s="307">
        <f>IF(VIN_max&lt;2*Vout, B147,B148)</f>
        <v>0.17176670610388883</v>
      </c>
      <c r="C149" s="213" t="s">
        <v>116</v>
      </c>
      <c r="I149" s="99"/>
    </row>
    <row r="150" spans="1:11" x14ac:dyDescent="0.2">
      <c r="A150" s="476" t="s">
        <v>515</v>
      </c>
      <c r="B150" s="522">
        <f>IF(OR(CinEsrMax&gt;0.3, CinEsrMax&lt;0), "N/A",CinEsrMax*1000)</f>
        <v>171.76670610388882</v>
      </c>
      <c r="C150" s="45" t="s">
        <v>318</v>
      </c>
      <c r="F150" t="s">
        <v>585</v>
      </c>
      <c r="I150" s="99"/>
    </row>
    <row r="151" spans="1:11" x14ac:dyDescent="0.2">
      <c r="A151" s="100" t="s">
        <v>86</v>
      </c>
      <c r="B151" s="94">
        <f>'Design Regulator'!E46/1000</f>
        <v>1E-3</v>
      </c>
      <c r="C151" s="213" t="s">
        <v>116</v>
      </c>
      <c r="F151" s="114" t="s">
        <v>241</v>
      </c>
      <c r="I151" s="99"/>
    </row>
    <row r="152" spans="1:11" x14ac:dyDescent="0.2">
      <c r="F152" s="114"/>
      <c r="I152" s="99"/>
      <c r="K152" s="311"/>
    </row>
    <row r="153" spans="1:11" x14ac:dyDescent="0.2">
      <c r="A153" s="476" t="s">
        <v>577</v>
      </c>
      <c r="B153" s="393">
        <f>Iout/Number_of_Phases*D1_Vinmax_2*(1-D1_Vinmax_2)/(Cin*Fsw)+(Iout/Number_of_Phases +Iripple_Vinmax/2)*RCinEsr</f>
        <v>1.4620401973058035E-2</v>
      </c>
      <c r="C153" s="93" t="s">
        <v>39</v>
      </c>
      <c r="I153" s="99"/>
    </row>
    <row r="154" spans="1:11" x14ac:dyDescent="0.2">
      <c r="A154" s="476" t="s">
        <v>578</v>
      </c>
      <c r="B154" s="393">
        <f>Iout/Number_of_Phases*0.5*(1-0.5)/(Cin*Fsw)+(Iout/Number_of_Phases +Iripple_Vinmax/2)*RCinEsr</f>
        <v>1.8270176787086857E-2</v>
      </c>
      <c r="C154" s="93" t="s">
        <v>39</v>
      </c>
      <c r="F154" s="114" t="s">
        <v>579</v>
      </c>
      <c r="I154" s="99"/>
    </row>
    <row r="155" spans="1:11" x14ac:dyDescent="0.2">
      <c r="A155" s="476" t="s">
        <v>222</v>
      </c>
      <c r="B155" s="393">
        <f>IF(VIN_max&lt;2*Vout, B153,B154)</f>
        <v>1.4620401973058035E-2</v>
      </c>
      <c r="C155" s="93" t="s">
        <v>39</v>
      </c>
      <c r="F155" s="114" t="s">
        <v>584</v>
      </c>
      <c r="I155" s="99"/>
    </row>
    <row r="156" spans="1:11" x14ac:dyDescent="0.2">
      <c r="A156" s="100"/>
      <c r="B156" s="533"/>
      <c r="C156" s="93"/>
      <c r="I156" s="99"/>
    </row>
    <row r="157" spans="1:11" ht="13.5" thickBot="1" x14ac:dyDescent="0.25">
      <c r="A157" s="101"/>
      <c r="B157" s="394">
        <f>Iout*D1_Vinmax_2*(1-D1_Vinmax_2)/(Cin*Fsw)</f>
        <v>8.8502251859711792E-3</v>
      </c>
      <c r="C157" s="318" t="s">
        <v>39</v>
      </c>
      <c r="D157" s="102"/>
      <c r="E157" s="103"/>
      <c r="F157" s="103"/>
      <c r="G157" s="103"/>
      <c r="H157" s="103"/>
      <c r="I157" s="104"/>
    </row>
    <row r="159" spans="1:11" ht="16.5" thickBot="1" x14ac:dyDescent="0.3">
      <c r="A159" s="525" t="s">
        <v>583</v>
      </c>
    </row>
    <row r="160" spans="1:11" x14ac:dyDescent="0.2">
      <c r="A160" s="90" t="s">
        <v>150</v>
      </c>
      <c r="B160" s="12">
        <f>'Design Regulator'!E51/1000</f>
        <v>3.0000000000000001E-3</v>
      </c>
      <c r="C160" s="63" t="s">
        <v>133</v>
      </c>
      <c r="D160" s="117" t="s">
        <v>435</v>
      </c>
      <c r="E160" s="63"/>
      <c r="F160" s="63"/>
      <c r="G160" s="63"/>
      <c r="H160" s="63"/>
      <c r="I160" s="64"/>
    </row>
    <row r="161" spans="1:9" x14ac:dyDescent="0.2">
      <c r="A161" s="56" t="s">
        <v>151</v>
      </c>
      <c r="B161" s="68">
        <f>Cout*Vout/Tss</f>
        <v>0.99999999999999989</v>
      </c>
      <c r="C161" t="s">
        <v>1</v>
      </c>
      <c r="D161" s="114" t="s">
        <v>434</v>
      </c>
      <c r="I161" s="57"/>
    </row>
    <row r="162" spans="1:9" x14ac:dyDescent="0.2">
      <c r="A162" s="56" t="s">
        <v>152</v>
      </c>
      <c r="B162" s="425">
        <f>0.00002*Tss/0.6</f>
        <v>1.0000000000000002E-7</v>
      </c>
      <c r="C162" t="s">
        <v>24</v>
      </c>
      <c r="I162" s="57"/>
    </row>
    <row r="163" spans="1:9" ht="13.5" thickBot="1" x14ac:dyDescent="0.25">
      <c r="A163" s="60" t="s">
        <v>164</v>
      </c>
      <c r="B163" s="426">
        <f>'Standard Value Calculator'!B4</f>
        <v>9.9999999999999995E-8</v>
      </c>
      <c r="C163" s="61" t="s">
        <v>24</v>
      </c>
      <c r="D163" s="61"/>
      <c r="E163" s="61"/>
      <c r="F163" s="61"/>
      <c r="G163" s="61"/>
      <c r="H163" s="61"/>
      <c r="I163" s="62"/>
    </row>
    <row r="165" spans="1:9" ht="16.5" thickBot="1" x14ac:dyDescent="0.3">
      <c r="A165" s="525" t="s">
        <v>680</v>
      </c>
    </row>
    <row r="166" spans="1:9" ht="12.75" customHeight="1" x14ac:dyDescent="0.2">
      <c r="A166" s="211" t="s">
        <v>681</v>
      </c>
      <c r="B166" s="591">
        <f>'Design Regulator'!E53/1000</f>
        <v>0.03</v>
      </c>
      <c r="C166" s="63" t="s">
        <v>133</v>
      </c>
      <c r="D166" s="117" t="s">
        <v>686</v>
      </c>
      <c r="E166" s="63"/>
      <c r="F166" s="63"/>
      <c r="G166" s="63"/>
      <c r="H166" s="63"/>
      <c r="I166" s="64"/>
    </row>
    <row r="167" spans="1:9" ht="12.75" customHeight="1" x14ac:dyDescent="0.2">
      <c r="A167" s="212" t="s">
        <v>682</v>
      </c>
      <c r="B167" s="425">
        <f>0.00002*Tres/1.2</f>
        <v>5.0000000000000008E-7</v>
      </c>
      <c r="C167" t="s">
        <v>24</v>
      </c>
      <c r="I167" s="57"/>
    </row>
    <row r="168" spans="1:9" ht="12.75" customHeight="1" x14ac:dyDescent="0.2">
      <c r="A168" s="212" t="s">
        <v>683</v>
      </c>
      <c r="B168" s="592">
        <f>'Standard Value Calculator'!G4</f>
        <v>4.7E-7</v>
      </c>
      <c r="C168" t="s">
        <v>24</v>
      </c>
      <c r="F168" s="45"/>
      <c r="G168" s="44"/>
      <c r="H168" s="44"/>
      <c r="I168" s="57"/>
    </row>
    <row r="169" spans="1:9" ht="12.75" customHeight="1" x14ac:dyDescent="0.2">
      <c r="B169" s="44"/>
      <c r="C169"/>
      <c r="I169" s="57"/>
    </row>
    <row r="170" spans="1:9" ht="12.75" customHeight="1" x14ac:dyDescent="0.3">
      <c r="A170" s="212" t="s">
        <v>685</v>
      </c>
      <c r="B170" s="44">
        <v>100</v>
      </c>
      <c r="C170" s="45" t="s">
        <v>242</v>
      </c>
      <c r="I170" s="57"/>
    </row>
    <row r="171" spans="1:9" ht="12.75" customHeight="1" x14ac:dyDescent="0.3">
      <c r="A171" s="212" t="s">
        <v>690</v>
      </c>
      <c r="B171" s="44"/>
      <c r="C171" s="213" t="s">
        <v>116</v>
      </c>
      <c r="E171" s="114" t="s">
        <v>691</v>
      </c>
      <c r="I171" s="57"/>
    </row>
    <row r="172" spans="1:9" ht="12.75" customHeight="1" x14ac:dyDescent="0.2">
      <c r="A172" s="557" t="s">
        <v>688</v>
      </c>
      <c r="B172" s="44"/>
      <c r="C172" s="213" t="s">
        <v>116</v>
      </c>
      <c r="D172" s="379"/>
      <c r="E172" s="114" t="s">
        <v>689</v>
      </c>
      <c r="I172" s="57"/>
    </row>
    <row r="173" spans="1:9" ht="12.75" customHeight="1" x14ac:dyDescent="0.2">
      <c r="A173" s="557" t="s">
        <v>687</v>
      </c>
      <c r="B173" s="44"/>
      <c r="C173" s="213" t="s">
        <v>116</v>
      </c>
      <c r="D173" s="379"/>
      <c r="E173" s="114" t="s">
        <v>624</v>
      </c>
      <c r="I173" s="57"/>
    </row>
    <row r="174" spans="1:9" ht="12.75" customHeight="1" x14ac:dyDescent="0.2">
      <c r="A174" s="212"/>
      <c r="B174" s="44"/>
      <c r="C174" s="213"/>
      <c r="I174" s="57"/>
    </row>
    <row r="175" spans="1:9" ht="12.75" customHeight="1" x14ac:dyDescent="0.2">
      <c r="A175" s="212" t="s">
        <v>548</v>
      </c>
      <c r="B175" s="392">
        <f>'Design Regulator'!E55*1000</f>
        <v>9000</v>
      </c>
      <c r="C175" s="114" t="s">
        <v>9</v>
      </c>
      <c r="I175" s="57"/>
    </row>
    <row r="176" spans="1:9" ht="12.75" customHeight="1" x14ac:dyDescent="0.2">
      <c r="A176" s="212" t="s">
        <v>324</v>
      </c>
      <c r="B176" s="391">
        <f>10*10^-6/Fdither/0.12</f>
        <v>9.2592592592592591E-9</v>
      </c>
      <c r="C176" s="114" t="s">
        <v>24</v>
      </c>
      <c r="I176" s="57"/>
    </row>
    <row r="177" spans="1:14" ht="12.75" customHeight="1" x14ac:dyDescent="0.2">
      <c r="A177" s="212" t="s">
        <v>325</v>
      </c>
      <c r="B177" s="391">
        <f>'Standard Value Calculator'!O22</f>
        <v>1E-8</v>
      </c>
      <c r="C177" s="114" t="s">
        <v>24</v>
      </c>
      <c r="I177" s="57"/>
    </row>
    <row r="178" spans="1:14" ht="12.75" customHeight="1" thickBot="1" x14ac:dyDescent="0.25">
      <c r="A178" s="60"/>
      <c r="B178" s="70"/>
      <c r="C178" s="295"/>
      <c r="D178" s="61"/>
      <c r="E178" s="61"/>
      <c r="F178" s="61"/>
      <c r="G178" s="61"/>
      <c r="H178" s="61"/>
      <c r="I178" s="62"/>
    </row>
    <row r="179" spans="1:14" x14ac:dyDescent="0.2">
      <c r="B179" s="44"/>
      <c r="C179" s="296"/>
    </row>
    <row r="180" spans="1:14" ht="16.5" thickBot="1" x14ac:dyDescent="0.3">
      <c r="A180" s="525" t="s">
        <v>582</v>
      </c>
    </row>
    <row r="181" spans="1:14" x14ac:dyDescent="0.2">
      <c r="A181" s="374" t="s">
        <v>38</v>
      </c>
      <c r="B181" s="375">
        <v>3.1415926500000002</v>
      </c>
      <c r="C181" s="376"/>
      <c r="D181" s="377" t="s">
        <v>377</v>
      </c>
      <c r="E181" s="63"/>
      <c r="F181" s="63"/>
      <c r="G181" s="63"/>
      <c r="H181" s="63"/>
      <c r="I181" s="64"/>
    </row>
    <row r="182" spans="1:14" x14ac:dyDescent="0.2">
      <c r="A182" s="114" t="s">
        <v>387</v>
      </c>
      <c r="B182" s="114">
        <v>12</v>
      </c>
      <c r="C182" s="46"/>
      <c r="D182" s="213"/>
      <c r="I182" s="57"/>
    </row>
    <row r="183" spans="1:14" x14ac:dyDescent="0.2">
      <c r="A183" s="114" t="s">
        <v>366</v>
      </c>
      <c r="B183">
        <f>Rs*CSAmp_gain</f>
        <v>4.8000000000000001E-2</v>
      </c>
      <c r="C183" s="213" t="s">
        <v>116</v>
      </c>
      <c r="D183">
        <f>Rs_Ch2*CSAmp_gain</f>
        <v>4.8000000000000001E-2</v>
      </c>
      <c r="E183" s="213" t="s">
        <v>116</v>
      </c>
      <c r="F183" s="114" t="s">
        <v>382</v>
      </c>
      <c r="I183" s="57"/>
    </row>
    <row r="184" spans="1:14" x14ac:dyDescent="0.2">
      <c r="A184" s="114" t="s">
        <v>347</v>
      </c>
      <c r="B184" s="373">
        <v>1.1999999999999999E-3</v>
      </c>
      <c r="C184" s="114" t="s">
        <v>66</v>
      </c>
      <c r="F184" s="114" t="s">
        <v>367</v>
      </c>
      <c r="I184" s="57"/>
    </row>
    <row r="185" spans="1:14" x14ac:dyDescent="0.2">
      <c r="A185" s="114"/>
      <c r="B185" s="114"/>
      <c r="C185" s="114"/>
      <c r="F185" s="114"/>
      <c r="I185" s="57"/>
    </row>
    <row r="186" spans="1:14" x14ac:dyDescent="0.2">
      <c r="A186" s="114" t="s">
        <v>451</v>
      </c>
      <c r="B186" s="558">
        <f>B190/Ri*1000</f>
        <v>12121212.121212121</v>
      </c>
      <c r="C186" s="493" t="s">
        <v>368</v>
      </c>
      <c r="D186" s="558">
        <f>B190/Ri_Ch2*1000</f>
        <v>12121212.121212121</v>
      </c>
      <c r="E186" s="493" t="s">
        <v>368</v>
      </c>
      <c r="F186" s="493" t="s">
        <v>388</v>
      </c>
      <c r="H186" s="4"/>
      <c r="I186" s="57"/>
    </row>
    <row r="187" spans="1:14" x14ac:dyDescent="0.2">
      <c r="A187" s="114" t="s">
        <v>369</v>
      </c>
      <c r="B187" s="558">
        <f>(Vin-Vout)/Lf</f>
        <v>666666.66666666663</v>
      </c>
      <c r="C187" s="493" t="s">
        <v>368</v>
      </c>
      <c r="D187" s="558">
        <f>(Vin-Vout2)/Lo_2</f>
        <v>666666.66666666663</v>
      </c>
      <c r="E187" s="493" t="s">
        <v>368</v>
      </c>
      <c r="F187" s="493" t="s">
        <v>370</v>
      </c>
      <c r="H187" s="4"/>
      <c r="I187" s="57"/>
    </row>
    <row r="188" spans="1:14" x14ac:dyDescent="0.2">
      <c r="A188" s="114" t="s">
        <v>386</v>
      </c>
      <c r="B188" s="558">
        <f>Vout/Lf</f>
        <v>13333333.333333332</v>
      </c>
      <c r="C188" s="493" t="s">
        <v>368</v>
      </c>
      <c r="D188" s="558">
        <f>Vout2/Lo_2</f>
        <v>13333333.333333332</v>
      </c>
      <c r="E188" s="493" t="s">
        <v>368</v>
      </c>
      <c r="F188" s="493" t="s">
        <v>385</v>
      </c>
      <c r="H188" s="4"/>
      <c r="I188" s="57"/>
    </row>
    <row r="189" spans="1:14" x14ac:dyDescent="0.2">
      <c r="A189" s="114"/>
      <c r="B189" s="378"/>
      <c r="C189" s="362"/>
      <c r="F189" s="362"/>
      <c r="I189" s="57"/>
      <c r="K189" s="114" t="s">
        <v>827</v>
      </c>
      <c r="L189" s="114" t="s">
        <v>846</v>
      </c>
      <c r="M189" s="114" t="s">
        <v>847</v>
      </c>
    </row>
    <row r="190" spans="1:14" x14ac:dyDescent="0.2">
      <c r="A190" s="114" t="s">
        <v>389</v>
      </c>
      <c r="B190" s="386">
        <f>(Fsw/1000)/220*64</f>
        <v>581.81818181818187</v>
      </c>
      <c r="C190" s="387" t="s">
        <v>425</v>
      </c>
      <c r="D190" s="386"/>
      <c r="E190" s="387"/>
      <c r="F190" s="387" t="s">
        <v>397</v>
      </c>
      <c r="I190" s="57"/>
      <c r="K190" s="114">
        <f>Ts</f>
        <v>4.9999999999999998E-7</v>
      </c>
      <c r="L190" s="360">
        <f>Ts*1000000</f>
        <v>0.5</v>
      </c>
      <c r="M190">
        <f>B190*L190</f>
        <v>290.90909090909093</v>
      </c>
      <c r="N190" s="114" t="s">
        <v>292</v>
      </c>
    </row>
    <row r="191" spans="1:14" x14ac:dyDescent="0.2">
      <c r="A191" s="114" t="s">
        <v>395</v>
      </c>
      <c r="B191" s="386">
        <f>Sn*Ri/1000</f>
        <v>32</v>
      </c>
      <c r="C191" s="387" t="s">
        <v>425</v>
      </c>
      <c r="D191" s="386">
        <f>Sn_Ch2*Ri_Ch2/1000</f>
        <v>32</v>
      </c>
      <c r="E191" s="387" t="s">
        <v>425</v>
      </c>
      <c r="F191" s="387" t="s">
        <v>398</v>
      </c>
      <c r="I191" s="57"/>
    </row>
    <row r="192" spans="1:14" x14ac:dyDescent="0.2">
      <c r="A192" s="114" t="s">
        <v>396</v>
      </c>
      <c r="B192" s="386">
        <f>Sf*Ri/1000</f>
        <v>640</v>
      </c>
      <c r="C192" s="387" t="s">
        <v>425</v>
      </c>
      <c r="D192" s="386">
        <f>Sf_Ch2*Ri_Ch2/1000</f>
        <v>640</v>
      </c>
      <c r="E192" s="387" t="s">
        <v>425</v>
      </c>
      <c r="F192" s="387" t="s">
        <v>398</v>
      </c>
      <c r="I192" s="57"/>
    </row>
    <row r="193" spans="1:9" x14ac:dyDescent="0.2">
      <c r="A193" s="114"/>
      <c r="B193" s="386"/>
      <c r="C193" s="387"/>
      <c r="D193" s="387"/>
      <c r="I193" s="57"/>
    </row>
    <row r="194" spans="1:9" x14ac:dyDescent="0.2">
      <c r="A194" s="114" t="s">
        <v>423</v>
      </c>
      <c r="B194" s="360">
        <f>1+Se_ext/Sn</f>
        <v>19.181818181818183</v>
      </c>
      <c r="C194"/>
      <c r="D194" s="360">
        <f>1+Se_ext_Ch2/Sn_Ch2</f>
        <v>19.181818181818183</v>
      </c>
      <c r="F194" s="114" t="s">
        <v>700</v>
      </c>
      <c r="I194" s="57"/>
    </row>
    <row r="195" spans="1:9" x14ac:dyDescent="0.2">
      <c r="A195" s="114" t="s">
        <v>424</v>
      </c>
      <c r="B195" s="380">
        <f>mc_buck*(1-D1_Vinnom_2)</f>
        <v>0.89429980105527274</v>
      </c>
      <c r="C195" s="362"/>
      <c r="D195" s="380">
        <f>mc_buck_Ch2*(1-D2_Vinnom_2)</f>
        <v>0.8897370469682534</v>
      </c>
      <c r="F195" s="362" t="s">
        <v>701</v>
      </c>
      <c r="I195" s="57"/>
    </row>
    <row r="196" spans="1:9" x14ac:dyDescent="0.2">
      <c r="A196" s="2"/>
      <c r="B196" s="395"/>
      <c r="C196" s="362"/>
      <c r="D196" s="362"/>
      <c r="I196" s="57"/>
    </row>
    <row r="197" spans="1:9" x14ac:dyDescent="0.2">
      <c r="A197" s="2" t="s">
        <v>371</v>
      </c>
      <c r="B197" s="380">
        <f>1+Se_ext/Sn</f>
        <v>19.181818181818183</v>
      </c>
      <c r="C197" s="362"/>
      <c r="D197" s="380">
        <f>1+Se_ext_Ch2/Sn_Ch2</f>
        <v>19.181818181818183</v>
      </c>
      <c r="I197" s="57"/>
    </row>
    <row r="198" spans="1:9" x14ac:dyDescent="0.2">
      <c r="A198" s="2" t="s">
        <v>346</v>
      </c>
      <c r="B198" s="421">
        <f>mc_buck*(1-D1_Vinnom_2)</f>
        <v>0.89429980105527274</v>
      </c>
      <c r="C198" s="362"/>
      <c r="D198" s="421">
        <f>mc_buck_Ch2*(1-D2_Vinnom_2)</f>
        <v>0.8897370469682534</v>
      </c>
      <c r="I198" s="57"/>
    </row>
    <row r="199" spans="1:9" x14ac:dyDescent="0.2">
      <c r="A199" s="114" t="s">
        <v>27</v>
      </c>
      <c r="B199" s="360">
        <f>1/Pi/(k-0.5)</f>
        <v>0.80727884136794736</v>
      </c>
      <c r="C199"/>
      <c r="D199" s="360">
        <f>1/Pi/(k_Ch2-0.5)</f>
        <v>0.81672986703119643</v>
      </c>
      <c r="F199" s="114" t="s">
        <v>380</v>
      </c>
      <c r="H199" s="114" t="s">
        <v>391</v>
      </c>
      <c r="I199" s="57"/>
    </row>
    <row r="200" spans="1:9" x14ac:dyDescent="0.2">
      <c r="A200" s="114"/>
      <c r="B200" s="360"/>
      <c r="C200"/>
      <c r="D200" s="114"/>
      <c r="F200" s="114"/>
      <c r="I200" s="57"/>
    </row>
    <row r="201" spans="1:9" x14ac:dyDescent="0.2">
      <c r="A201" s="362" t="s">
        <v>426</v>
      </c>
      <c r="B201" s="360"/>
      <c r="C201"/>
      <c r="D201" s="114"/>
      <c r="I201" s="57"/>
    </row>
    <row r="202" spans="1:9" x14ac:dyDescent="0.2">
      <c r="A202" s="114" t="s">
        <v>372</v>
      </c>
      <c r="B202" s="373">
        <v>30</v>
      </c>
      <c r="C202" s="114" t="s">
        <v>181</v>
      </c>
      <c r="F202" s="114" t="s">
        <v>456</v>
      </c>
      <c r="I202" s="57"/>
    </row>
    <row r="203" spans="1:9" x14ac:dyDescent="0.2">
      <c r="A203" s="114" t="s">
        <v>373</v>
      </c>
      <c r="B203" s="663">
        <f>gm/(2*Pi*GBW*1000000)</f>
        <v>6.3661977309502546E-12</v>
      </c>
      <c r="C203" s="114" t="s">
        <v>24</v>
      </c>
      <c r="F203" s="114" t="s">
        <v>455</v>
      </c>
      <c r="I203" s="57"/>
    </row>
    <row r="204" spans="1:9" x14ac:dyDescent="0.2">
      <c r="A204" s="114" t="s">
        <v>374</v>
      </c>
      <c r="B204" s="596">
        <v>64000000</v>
      </c>
      <c r="C204" s="213" t="s">
        <v>116</v>
      </c>
      <c r="F204" s="114" t="s">
        <v>454</v>
      </c>
      <c r="I204" s="57"/>
    </row>
    <row r="205" spans="1:9" x14ac:dyDescent="0.2">
      <c r="A205" s="2" t="s">
        <v>375</v>
      </c>
      <c r="B205" s="309">
        <f>gm*RoEA</f>
        <v>76800</v>
      </c>
      <c r="C205" s="114" t="s">
        <v>28</v>
      </c>
      <c r="F205" s="114" t="s">
        <v>453</v>
      </c>
      <c r="I205" s="57"/>
    </row>
    <row r="206" spans="1:9" x14ac:dyDescent="0.2">
      <c r="A206" s="2" t="s">
        <v>376</v>
      </c>
      <c r="B206" s="4">
        <f>Vref/Vout</f>
        <v>0.03</v>
      </c>
      <c r="C206" s="114" t="s">
        <v>28</v>
      </c>
      <c r="D206" s="4">
        <f>Vref/Vout2</f>
        <v>0.03</v>
      </c>
      <c r="E206" s="114" t="s">
        <v>28</v>
      </c>
      <c r="F206" s="114" t="s">
        <v>452</v>
      </c>
      <c r="I206" s="57"/>
    </row>
    <row r="207" spans="1:9" x14ac:dyDescent="0.2">
      <c r="A207" s="2" t="s">
        <v>331</v>
      </c>
      <c r="B207" s="395">
        <f>1/Ri</f>
        <v>20.833333333333332</v>
      </c>
      <c r="C207" s="114"/>
      <c r="D207" s="395">
        <f>1/Ri_Ch2</f>
        <v>20.833333333333332</v>
      </c>
      <c r="E207" s="114"/>
      <c r="F207" s="114" t="s">
        <v>381</v>
      </c>
      <c r="I207" s="57"/>
    </row>
    <row r="208" spans="1:9" x14ac:dyDescent="0.2">
      <c r="A208" s="2" t="s">
        <v>417</v>
      </c>
      <c r="B208" s="4">
        <f>(Ro/Number_of_Phases)/Ri/((1+Ro/Number_of_Phases*(k-0.5)/(Fsw*Lf)))</f>
        <v>54.618553583914391</v>
      </c>
      <c r="C208" s="4"/>
      <c r="D208" s="4">
        <f>Ro_Ch2/Ri_Ch2/((1+Ro_Ch2*(k_Ch2-0.5)/(Fsw*Lo_2)))</f>
        <v>54.837210184798778</v>
      </c>
      <c r="I208" s="57"/>
    </row>
    <row r="209" spans="1:9" x14ac:dyDescent="0.2">
      <c r="A209" s="2" t="s">
        <v>336</v>
      </c>
      <c r="B209" s="4">
        <f>(Ro*Number_of_Phases)/Ri/((1+Ro*Number_of_Phases*(k-0.5)/(Fsw*Lf)))</f>
        <v>54.618553583914391</v>
      </c>
      <c r="C209" s="4"/>
      <c r="D209" s="4">
        <f>Ro_Ch2/Ri_Ch2/((1+Ro_Ch2*(k_Ch2-0.5)/(Fsw*Lo_2)))</f>
        <v>54.837210184798778</v>
      </c>
      <c r="F209" s="362" t="s">
        <v>798</v>
      </c>
      <c r="I209" s="57"/>
    </row>
    <row r="210" spans="1:9" x14ac:dyDescent="0.2">
      <c r="A210" s="2"/>
      <c r="B210" s="4"/>
      <c r="C210"/>
      <c r="D210" s="362"/>
      <c r="I210" s="57"/>
    </row>
    <row r="211" spans="1:9" x14ac:dyDescent="0.2">
      <c r="A211" s="114" t="s">
        <v>799</v>
      </c>
      <c r="B211" s="4">
        <f>2*Pi*Ri/gm</f>
        <v>251.32741200000004</v>
      </c>
      <c r="C211"/>
      <c r="F211" s="114" t="s">
        <v>457</v>
      </c>
      <c r="I211" s="57"/>
    </row>
    <row r="212" spans="1:9" x14ac:dyDescent="0.2">
      <c r="A212" s="362" t="s">
        <v>418</v>
      </c>
      <c r="B212" s="4"/>
      <c r="C212"/>
      <c r="F212" s="114"/>
      <c r="I212" s="57"/>
    </row>
    <row r="213" spans="1:9" x14ac:dyDescent="0.2">
      <c r="A213" s="362"/>
      <c r="B213" s="4"/>
      <c r="C213"/>
      <c r="F213" s="114"/>
      <c r="I213" s="57"/>
    </row>
    <row r="214" spans="1:9" x14ac:dyDescent="0.2">
      <c r="A214" s="212" t="s">
        <v>42</v>
      </c>
      <c r="B214" s="395">
        <f>Rout</f>
        <v>4</v>
      </c>
      <c r="C214" s="213" t="s">
        <v>116</v>
      </c>
      <c r="D214" s="360">
        <f>Rout2</f>
        <v>4</v>
      </c>
      <c r="E214" s="213" t="s">
        <v>116</v>
      </c>
      <c r="F214" s="114" t="s">
        <v>271</v>
      </c>
      <c r="I214" s="57"/>
    </row>
    <row r="215" spans="1:9" x14ac:dyDescent="0.2">
      <c r="A215" s="114"/>
      <c r="B215" s="114"/>
      <c r="C215" s="213"/>
      <c r="D215" s="114"/>
      <c r="I215" s="57"/>
    </row>
    <row r="216" spans="1:9" x14ac:dyDescent="0.2">
      <c r="A216" s="114" t="s">
        <v>412</v>
      </c>
      <c r="B216" s="385">
        <f>1/(2*Pi*Ro*Cout)+(k-0.5)/(2*Pi*Fsw*Lf*Cout/Number_of_Phases)</f>
        <v>404.71326650027254</v>
      </c>
      <c r="C216" t="s">
        <v>9</v>
      </c>
      <c r="D216" s="385">
        <f>1/(2*Pi*Ro_Ch2*Cout2)+(k_Ch2-0.5)/(2*Pi*Fsw*Lo_2*Cout2)</f>
        <v>503.87440293675269</v>
      </c>
      <c r="E216" t="s">
        <v>9</v>
      </c>
      <c r="F216" s="114" t="s">
        <v>411</v>
      </c>
      <c r="I216" s="57"/>
    </row>
    <row r="217" spans="1:9" x14ac:dyDescent="0.2">
      <c r="A217" s="114" t="s">
        <v>444</v>
      </c>
      <c r="B217" s="371">
        <f>Fload_u</f>
        <v>404.71326650027254</v>
      </c>
      <c r="C217" s="114" t="s">
        <v>9</v>
      </c>
      <c r="D217" s="371">
        <f>Fload_u_Ch2</f>
        <v>503.87440293675269</v>
      </c>
      <c r="E217" s="114" t="s">
        <v>9</v>
      </c>
      <c r="F217" s="378"/>
      <c r="I217" s="57"/>
    </row>
    <row r="218" spans="1:9" x14ac:dyDescent="0.2">
      <c r="A218" s="114"/>
      <c r="B218" s="370">
        <f>Cbw</f>
        <v>6.3661977309502546E-12</v>
      </c>
      <c r="C218"/>
      <c r="D218" s="114"/>
      <c r="E218" s="46"/>
      <c r="I218" s="57"/>
    </row>
    <row r="219" spans="1:9" x14ac:dyDescent="0.2">
      <c r="A219" s="114" t="s">
        <v>383</v>
      </c>
      <c r="B219" s="581">
        <f>1/(2*Pi*(RoEA+Rcea1_u)*Cc1ea_u)</f>
        <v>7.5269248051528796</v>
      </c>
      <c r="C219" t="s">
        <v>9</v>
      </c>
      <c r="D219" s="435">
        <f>1/(2*Pi*(RoEA+Rcea2_u)*Cc3ea_u)</f>
        <v>5.2860665696800622</v>
      </c>
      <c r="E219" t="s">
        <v>9</v>
      </c>
      <c r="F219" s="114" t="s">
        <v>410</v>
      </c>
      <c r="I219" s="57"/>
    </row>
    <row r="220" spans="1:9" x14ac:dyDescent="0.2">
      <c r="A220" s="114" t="s">
        <v>384</v>
      </c>
      <c r="B220" s="385">
        <f>1/(2*Pi*Rcea1_u*(Cc2ea_u+Cbw))</f>
        <v>333333.33333333337</v>
      </c>
      <c r="C220" t="s">
        <v>9</v>
      </c>
      <c r="D220" s="385">
        <f>1/(2*Pi*Rcea2_u*(Cc4ea_u+Cbw))</f>
        <v>413907.28476821195</v>
      </c>
      <c r="E220" t="s">
        <v>9</v>
      </c>
      <c r="F220" s="114" t="s">
        <v>392</v>
      </c>
      <c r="I220" s="57"/>
    </row>
    <row r="221" spans="1:9" x14ac:dyDescent="0.2">
      <c r="A221" s="212" t="s">
        <v>26</v>
      </c>
      <c r="B221" s="385">
        <f>1/(2*Pi*Cout*Cout_ESR)</f>
        <v>530516.47757918795</v>
      </c>
      <c r="C221" t="s">
        <v>9</v>
      </c>
      <c r="D221" s="385">
        <f>1/(2*Pi*Cout2*Cout2_ESR)</f>
        <v>663145.59697398485</v>
      </c>
      <c r="E221" t="s">
        <v>9</v>
      </c>
      <c r="F221" s="114" t="s">
        <v>409</v>
      </c>
      <c r="I221" s="57"/>
    </row>
    <row r="222" spans="1:9" x14ac:dyDescent="0.2">
      <c r="A222" s="114" t="s">
        <v>416</v>
      </c>
      <c r="B222" s="385">
        <f>Fsw/2</f>
        <v>1000000</v>
      </c>
      <c r="C222" t="s">
        <v>9</v>
      </c>
      <c r="D222" s="371"/>
      <c r="F222" s="114" t="s">
        <v>776</v>
      </c>
      <c r="I222" s="57"/>
    </row>
    <row r="223" spans="1:9" x14ac:dyDescent="0.2">
      <c r="A223" s="114"/>
      <c r="B223" s="371"/>
      <c r="C223"/>
      <c r="D223" s="114"/>
      <c r="E223" s="46"/>
      <c r="I223" s="57"/>
    </row>
    <row r="224" spans="1:9" x14ac:dyDescent="0.2">
      <c r="A224" s="212" t="s">
        <v>408</v>
      </c>
      <c r="B224" s="317">
        <f>'Design Regulator'!E63*1000</f>
        <v>60000</v>
      </c>
      <c r="C224" s="370" t="s">
        <v>9</v>
      </c>
      <c r="D224" s="317">
        <f>'Design Regulator'!J63*1000</f>
        <v>60000</v>
      </c>
      <c r="E224" s="370" t="s">
        <v>9</v>
      </c>
      <c r="I224" s="57"/>
    </row>
    <row r="225" spans="1:12" x14ac:dyDescent="0.2">
      <c r="A225" s="66" t="s">
        <v>33</v>
      </c>
      <c r="B225" s="371">
        <f>Fcross*Cout/Number_of_Phases*2*Pi*Ri/(gm*Afb)</f>
        <v>75398.223600000027</v>
      </c>
      <c r="C225" s="213" t="s">
        <v>116</v>
      </c>
      <c r="D225" s="371">
        <f>Fcross_Ch2*Cout2*2*Pi*Ri_Ch2/(gm*Afb_Ch2)</f>
        <v>60318.578880000015</v>
      </c>
      <c r="E225" s="213" t="s">
        <v>116</v>
      </c>
      <c r="F225" s="114" t="s">
        <v>378</v>
      </c>
      <c r="I225" s="57"/>
      <c r="K225" s="309"/>
      <c r="L225" s="213"/>
    </row>
    <row r="226" spans="1:12" x14ac:dyDescent="0.2">
      <c r="A226" s="66" t="s">
        <v>729</v>
      </c>
      <c r="B226" s="370">
        <f>10/(Rcea1*Fcross*2*Pi)</f>
        <v>3.5180966622878611E-10</v>
      </c>
      <c r="C226" t="s">
        <v>24</v>
      </c>
      <c r="D226" s="370">
        <f>10/(Rcea2*Fcross_Ch2*2*Pi)</f>
        <v>4.3976208278598272E-10</v>
      </c>
      <c r="E226" t="s">
        <v>24</v>
      </c>
      <c r="F226" s="114" t="s">
        <v>703</v>
      </c>
      <c r="I226" s="57"/>
    </row>
    <row r="227" spans="1:12" x14ac:dyDescent="0.2">
      <c r="A227" s="66" t="s">
        <v>730</v>
      </c>
      <c r="B227" s="370">
        <f>MAX(1/(Rcea1*2*Pi*Fesr)-Cbw, 1/(Rcea1*2*Pi*(Fsw/2))-Cbw)</f>
        <v>-2.3873241491063468E-12</v>
      </c>
      <c r="C227" t="s">
        <v>24</v>
      </c>
      <c r="D227" s="370">
        <f>MAX(1/(Rcea2*2*Pi*Fesr_Ch2)-Cbw, 1/(Rcea2*2*Pi*(Fsw/2))-Cbw)</f>
        <v>-2.3873241491063452E-12</v>
      </c>
      <c r="E227" t="s">
        <v>24</v>
      </c>
      <c r="F227" s="114" t="s">
        <v>379</v>
      </c>
      <c r="I227" s="57"/>
    </row>
    <row r="228" spans="1:12" x14ac:dyDescent="0.2">
      <c r="A228" s="65"/>
      <c r="B228" s="1"/>
      <c r="C228" s="213"/>
      <c r="I228" s="57"/>
    </row>
    <row r="229" spans="1:12" x14ac:dyDescent="0.2">
      <c r="A229" s="66" t="s">
        <v>327</v>
      </c>
      <c r="I229" s="57"/>
    </row>
    <row r="230" spans="1:12" x14ac:dyDescent="0.2">
      <c r="A230" s="56" t="s">
        <v>34</v>
      </c>
      <c r="B230" s="69">
        <f>'Design Regulator'!D70*1000</f>
        <v>75000</v>
      </c>
      <c r="C230" s="213" t="s">
        <v>116</v>
      </c>
      <c r="D230" s="69">
        <f>'Design Regulator'!D73*1000</f>
        <v>60400</v>
      </c>
      <c r="E230" s="213" t="s">
        <v>116</v>
      </c>
      <c r="F230">
        <f>1/(Rcea1*2*Pi*(Fsw/2))-Cbw</f>
        <v>-4.2553397335775372E-12</v>
      </c>
      <c r="I230" s="57"/>
    </row>
    <row r="231" spans="1:12" x14ac:dyDescent="0.2">
      <c r="A231" s="56" t="s">
        <v>35</v>
      </c>
      <c r="B231" s="69">
        <f>'Design Regulator'!D71*0.000000001</f>
        <v>3.3000000000000005E-10</v>
      </c>
      <c r="C231" t="s">
        <v>24</v>
      </c>
      <c r="D231" s="69">
        <f>'Design Regulator'!D74*0.000000001</f>
        <v>4.7000000000000003E-10</v>
      </c>
      <c r="E231" t="s">
        <v>24</v>
      </c>
      <c r="I231" s="57"/>
    </row>
    <row r="232" spans="1:12" x14ac:dyDescent="0.2">
      <c r="A232" s="56" t="s">
        <v>36</v>
      </c>
      <c r="B232" s="69">
        <f>'Design Regulator'!D72*0.000000000001</f>
        <v>0</v>
      </c>
      <c r="C232" t="s">
        <v>24</v>
      </c>
      <c r="D232" s="69">
        <f>'Design Regulator'!D75*0.000000000001</f>
        <v>0</v>
      </c>
      <c r="E232" t="s">
        <v>24</v>
      </c>
      <c r="I232" s="57"/>
    </row>
    <row r="233" spans="1:12" x14ac:dyDescent="0.2">
      <c r="A233" s="56"/>
      <c r="B233" s="48"/>
      <c r="C233"/>
      <c r="I233" s="57"/>
    </row>
    <row r="234" spans="1:12" x14ac:dyDescent="0.2">
      <c r="A234" s="66" t="s">
        <v>394</v>
      </c>
      <c r="C234"/>
      <c r="F234">
        <f>Cout</f>
        <v>1.4999999999999999E-4</v>
      </c>
      <c r="G234">
        <f>Cout_ESR</f>
        <v>2E-3</v>
      </c>
      <c r="I234" s="57"/>
    </row>
    <row r="235" spans="1:12" x14ac:dyDescent="0.2">
      <c r="A235" s="66" t="s">
        <v>37</v>
      </c>
      <c r="B235" s="372">
        <f>1/(2*Pi*Rcea1_u*Cc1ea_u)</f>
        <v>6430.5027585356102</v>
      </c>
      <c r="C235" t="s">
        <v>9</v>
      </c>
      <c r="D235" s="372">
        <f>1/(2*Pi*Rcea2_u*Cc3ea_u)</f>
        <v>5606.4162066280242</v>
      </c>
      <c r="E235" t="s">
        <v>9</v>
      </c>
      <c r="F235" s="114" t="s">
        <v>449</v>
      </c>
      <c r="I235" s="57"/>
    </row>
    <row r="236" spans="1:12" x14ac:dyDescent="0.2">
      <c r="A236" s="66" t="s">
        <v>811</v>
      </c>
      <c r="B236" s="372">
        <f>1/(2*Pi*Rcea1_u*(Cc1ea_u*(Cc2ea_u+Cbw)/(Cc1ea_u+Cc2ea_u+Cbw)))</f>
        <v>339763.83609186893</v>
      </c>
      <c r="C236" t="s">
        <v>9</v>
      </c>
      <c r="D236" s="372">
        <f>1/(2*Pi*Rcea2_u*(Cc3ea_u*(Cc4ea_u+Cbw)/(Cc3ea_u+Cc4ea_u+Cbw)))</f>
        <v>419513.70097484003</v>
      </c>
      <c r="E236" t="s">
        <v>9</v>
      </c>
      <c r="F236" t="s">
        <v>132</v>
      </c>
      <c r="I236" s="57"/>
    </row>
    <row r="237" spans="1:12" x14ac:dyDescent="0.2">
      <c r="C237"/>
      <c r="I237" s="57"/>
    </row>
    <row r="238" spans="1:12" x14ac:dyDescent="0.2">
      <c r="A238" s="56" t="s">
        <v>29</v>
      </c>
      <c r="B238" s="317">
        <f>'Design Regulator'!E65*1000</f>
        <v>39300</v>
      </c>
      <c r="C238" s="213" t="s">
        <v>116</v>
      </c>
      <c r="D238" s="317">
        <f>'Design Regulator'!J65*1000</f>
        <v>115000</v>
      </c>
      <c r="E238" s="213" t="s">
        <v>116</v>
      </c>
      <c r="F238" s="114" t="s">
        <v>402</v>
      </c>
      <c r="I238" s="57"/>
    </row>
    <row r="239" spans="1:12" x14ac:dyDescent="0.2">
      <c r="A239" s="66" t="s">
        <v>40</v>
      </c>
      <c r="B239" s="361">
        <f>IF(Vout=Vref,100000000,Vref*B238/((Vout-Vref)))</f>
        <v>1215.4639175257732</v>
      </c>
      <c r="C239" s="213" t="s">
        <v>116</v>
      </c>
      <c r="D239" s="361">
        <f>IF(Vout2=Vref,100000000,Vref*D238/((Vout2-Vref)))</f>
        <v>3556.7010309278353</v>
      </c>
      <c r="E239" s="213" t="s">
        <v>116</v>
      </c>
      <c r="F239" s="114" t="s">
        <v>401</v>
      </c>
      <c r="I239" s="57"/>
    </row>
    <row r="240" spans="1:12" x14ac:dyDescent="0.2">
      <c r="A240" s="56" t="s">
        <v>136</v>
      </c>
      <c r="B240" s="68">
        <f>IF(Vout=Vref,"N/A",'Standard Value Calculator'!O11)</f>
        <v>1210</v>
      </c>
      <c r="C240" s="213" t="s">
        <v>116</v>
      </c>
      <c r="D240" s="68">
        <f>IF(Vout2=Vref,"N/A",'Standard Value Calculator'!O13)</f>
        <v>3570</v>
      </c>
      <c r="E240" s="213" t="s">
        <v>116</v>
      </c>
      <c r="F240" s="114" t="s">
        <v>400</v>
      </c>
      <c r="I240" s="57"/>
    </row>
    <row r="241" spans="1:9" ht="13.5" thickBot="1" x14ac:dyDescent="0.25">
      <c r="A241" s="384"/>
      <c r="B241" s="384"/>
      <c r="C241" s="71"/>
      <c r="D241" s="61"/>
      <c r="E241" s="71"/>
      <c r="F241" s="61"/>
      <c r="G241" s="61"/>
      <c r="H241" s="61"/>
      <c r="I241" s="62"/>
    </row>
    <row r="242" spans="1:9" x14ac:dyDescent="0.2">
      <c r="A242" s="1"/>
      <c r="B242" s="46"/>
      <c r="C242" s="46"/>
      <c r="E242" s="46"/>
    </row>
    <row r="243" spans="1:9" x14ac:dyDescent="0.2">
      <c r="A243" s="66" t="s">
        <v>172</v>
      </c>
      <c r="B243" s="1"/>
      <c r="C243"/>
    </row>
    <row r="244" spans="1:9" x14ac:dyDescent="0.2">
      <c r="A244" s="66" t="s">
        <v>173</v>
      </c>
      <c r="B244" s="2">
        <v>0</v>
      </c>
      <c r="C244" s="213" t="s">
        <v>116</v>
      </c>
      <c r="D244" s="114" t="s">
        <v>270</v>
      </c>
    </row>
    <row r="245" spans="1:9" x14ac:dyDescent="0.2">
      <c r="A245" s="66" t="s">
        <v>176</v>
      </c>
      <c r="B245" s="382" t="e">
        <f>0.00000002*Fsw*0.6*4/Iripple1</f>
        <v>#NAME?</v>
      </c>
      <c r="C245" s="46"/>
      <c r="E245" s="46"/>
    </row>
    <row r="246" spans="1:9" x14ac:dyDescent="0.2">
      <c r="A246" s="66" t="s">
        <v>175</v>
      </c>
      <c r="B246" s="382" t="e">
        <f>_Don2*RdsonTop+Doff2*RdsonBot</f>
        <v>#NAME?</v>
      </c>
      <c r="C246" s="46"/>
      <c r="E246" s="46"/>
    </row>
    <row r="247" spans="1:9" x14ac:dyDescent="0.2">
      <c r="A247" s="66" t="s">
        <v>174</v>
      </c>
      <c r="B247" s="382" t="e">
        <f>B248*Vin^2*Fsw/2/(((Iripple1/SQRT(3))^2))</f>
        <v>#NAME?</v>
      </c>
      <c r="C247" s="46"/>
      <c r="E247" s="46"/>
    </row>
    <row r="248" spans="1:9" x14ac:dyDescent="0.2">
      <c r="A248" s="66" t="s">
        <v>177</v>
      </c>
      <c r="B248" s="383">
        <v>5.0000000000000001E-9</v>
      </c>
      <c r="C248" s="46"/>
      <c r="E248" s="46"/>
    </row>
    <row r="249" spans="1:9" x14ac:dyDescent="0.2">
      <c r="A249" s="1"/>
      <c r="B249" s="46"/>
      <c r="C249" s="46"/>
      <c r="E249" s="46"/>
    </row>
    <row r="250" spans="1:9" ht="16.5" thickBot="1" x14ac:dyDescent="0.3">
      <c r="A250" s="92" t="s">
        <v>193</v>
      </c>
    </row>
    <row r="251" spans="1:9" x14ac:dyDescent="0.2">
      <c r="A251" s="211" t="s">
        <v>615</v>
      </c>
      <c r="B251" s="63">
        <v>0</v>
      </c>
      <c r="C251" s="297"/>
      <c r="D251" s="63"/>
      <c r="E251" s="63"/>
      <c r="F251" s="63"/>
      <c r="G251" s="63"/>
      <c r="H251" s="63"/>
      <c r="I251" s="64"/>
    </row>
    <row r="252" spans="1:9" x14ac:dyDescent="0.2">
      <c r="A252" s="66" t="s">
        <v>55</v>
      </c>
      <c r="I252" s="57"/>
    </row>
    <row r="253" spans="1:9" x14ac:dyDescent="0.2">
      <c r="A253" s="56" t="s">
        <v>83</v>
      </c>
      <c r="B253" s="29">
        <f>'Design Regulator'!E14</f>
        <v>25</v>
      </c>
      <c r="C253" s="114" t="s">
        <v>226</v>
      </c>
      <c r="D253" t="s">
        <v>96</v>
      </c>
      <c r="I253" s="57"/>
    </row>
    <row r="254" spans="1:9" x14ac:dyDescent="0.2">
      <c r="A254" s="66" t="s">
        <v>58</v>
      </c>
      <c r="C254"/>
      <c r="I254" s="57"/>
    </row>
    <row r="255" spans="1:9" x14ac:dyDescent="0.2">
      <c r="A255" s="56" t="s">
        <v>82</v>
      </c>
      <c r="B255" s="59">
        <f>4000/1000000</f>
        <v>4.0000000000000001E-3</v>
      </c>
      <c r="C255" s="114" t="s">
        <v>279</v>
      </c>
      <c r="D255" s="114" t="s">
        <v>481</v>
      </c>
      <c r="I255" s="57"/>
    </row>
    <row r="256" spans="1:9" ht="15.75" x14ac:dyDescent="0.3">
      <c r="A256" s="212" t="s">
        <v>478</v>
      </c>
      <c r="B256" s="59">
        <v>20</v>
      </c>
      <c r="C256" s="114" t="s">
        <v>205</v>
      </c>
      <c r="D256" s="114" t="s">
        <v>479</v>
      </c>
      <c r="I256" s="57"/>
    </row>
    <row r="257" spans="1:9" x14ac:dyDescent="0.2">
      <c r="A257" s="56" t="s">
        <v>86</v>
      </c>
      <c r="B257" s="29">
        <f>RCinEsr</f>
        <v>1E-3</v>
      </c>
      <c r="C257" s="213" t="s">
        <v>116</v>
      </c>
      <c r="D257" s="114" t="s">
        <v>480</v>
      </c>
      <c r="I257" s="57"/>
    </row>
    <row r="258" spans="1:9" x14ac:dyDescent="0.2">
      <c r="A258" s="56"/>
      <c r="B258" s="29"/>
      <c r="C258" s="213"/>
      <c r="D258" s="114"/>
      <c r="I258" s="57"/>
    </row>
    <row r="259" spans="1:9" x14ac:dyDescent="0.2">
      <c r="A259" s="65" t="s">
        <v>742</v>
      </c>
      <c r="C259"/>
      <c r="I259" s="57"/>
    </row>
    <row r="260" spans="1:9" x14ac:dyDescent="0.2">
      <c r="A260" s="212" t="s">
        <v>699</v>
      </c>
      <c r="B260" s="59">
        <v>5</v>
      </c>
      <c r="C260" t="s">
        <v>0</v>
      </c>
      <c r="D260" s="362" t="s">
        <v>740</v>
      </c>
      <c r="I260" s="57"/>
    </row>
    <row r="261" spans="1:9" x14ac:dyDescent="0.2">
      <c r="A261" s="66" t="s">
        <v>112</v>
      </c>
      <c r="C261"/>
      <c r="I261" s="57"/>
    </row>
    <row r="262" spans="1:9" x14ac:dyDescent="0.2">
      <c r="A262" s="56" t="s">
        <v>61</v>
      </c>
      <c r="B262" s="59">
        <v>1</v>
      </c>
      <c r="C262" s="213" t="s">
        <v>116</v>
      </c>
      <c r="D262" s="114" t="s">
        <v>403</v>
      </c>
      <c r="I262" s="57"/>
    </row>
    <row r="263" spans="1:9" x14ac:dyDescent="0.2">
      <c r="A263" s="56" t="s">
        <v>126</v>
      </c>
      <c r="B263" s="59">
        <v>0.5</v>
      </c>
      <c r="C263" s="213" t="s">
        <v>116</v>
      </c>
      <c r="D263" s="114" t="s">
        <v>404</v>
      </c>
      <c r="I263" s="57"/>
    </row>
    <row r="264" spans="1:9" x14ac:dyDescent="0.2">
      <c r="A264" s="66" t="s">
        <v>113</v>
      </c>
      <c r="C264"/>
      <c r="I264" s="57"/>
    </row>
    <row r="265" spans="1:9" x14ac:dyDescent="0.2">
      <c r="A265" s="56" t="s">
        <v>60</v>
      </c>
      <c r="B265" s="106">
        <v>1</v>
      </c>
      <c r="C265" s="213" t="s">
        <v>116</v>
      </c>
      <c r="D265" s="114" t="s">
        <v>405</v>
      </c>
      <c r="I265" s="57"/>
    </row>
    <row r="266" spans="1:9" x14ac:dyDescent="0.2">
      <c r="A266" s="56" t="s">
        <v>125</v>
      </c>
      <c r="B266" s="59">
        <v>0.5</v>
      </c>
      <c r="C266" s="213" t="s">
        <v>116</v>
      </c>
      <c r="D266" s="114" t="s">
        <v>406</v>
      </c>
      <c r="I266" s="57"/>
    </row>
    <row r="267" spans="1:9" x14ac:dyDescent="0.2">
      <c r="A267" s="66" t="s">
        <v>62</v>
      </c>
      <c r="C267"/>
      <c r="I267" s="57"/>
    </row>
    <row r="268" spans="1:9" x14ac:dyDescent="0.2">
      <c r="A268" s="56" t="s">
        <v>62</v>
      </c>
      <c r="B268" s="67">
        <v>1.4E-8</v>
      </c>
      <c r="C268" t="s">
        <v>133</v>
      </c>
      <c r="D268" t="s">
        <v>98</v>
      </c>
      <c r="G268" s="362" t="s">
        <v>845</v>
      </c>
      <c r="I268" s="57"/>
    </row>
    <row r="269" spans="1:9" x14ac:dyDescent="0.2">
      <c r="A269" s="66" t="s">
        <v>52</v>
      </c>
      <c r="C269"/>
      <c r="I269" s="57"/>
    </row>
    <row r="270" spans="1:9" x14ac:dyDescent="0.2">
      <c r="A270" s="56" t="s">
        <v>128</v>
      </c>
      <c r="B270" s="59">
        <v>3.4999999999999997E-5</v>
      </c>
      <c r="C270" t="s">
        <v>1</v>
      </c>
      <c r="D270" s="114" t="s">
        <v>741</v>
      </c>
      <c r="I270" s="57"/>
    </row>
    <row r="271" spans="1:9" x14ac:dyDescent="0.2">
      <c r="A271" s="56"/>
      <c r="C271"/>
      <c r="I271" s="57"/>
    </row>
    <row r="272" spans="1:9" x14ac:dyDescent="0.2">
      <c r="A272" s="66" t="s">
        <v>738</v>
      </c>
      <c r="B272" s="2" t="s">
        <v>531</v>
      </c>
      <c r="C272"/>
      <c r="D272" s="2" t="s">
        <v>532</v>
      </c>
      <c r="I272" s="57"/>
    </row>
    <row r="273" spans="1:9" x14ac:dyDescent="0.2">
      <c r="A273" s="212" t="s">
        <v>533</v>
      </c>
      <c r="B273" s="29">
        <f>'Design Regulator'!E83/1000</f>
        <v>6.0000000000000001E-3</v>
      </c>
      <c r="C273" s="213" t="s">
        <v>116</v>
      </c>
      <c r="D273" s="29">
        <f>'Design Regulator'!F83/1000</f>
        <v>2.5000000000000001E-3</v>
      </c>
      <c r="E273" s="213" t="s">
        <v>116</v>
      </c>
      <c r="F273" s="114" t="s">
        <v>744</v>
      </c>
      <c r="I273" s="57"/>
    </row>
    <row r="274" spans="1:9" x14ac:dyDescent="0.2">
      <c r="A274" s="56" t="s">
        <v>79</v>
      </c>
      <c r="B274" s="59">
        <f>4000/1000000</f>
        <v>4.0000000000000001E-3</v>
      </c>
      <c r="C274" s="114" t="s">
        <v>279</v>
      </c>
      <c r="E274" s="114"/>
      <c r="F274" s="114" t="s">
        <v>407</v>
      </c>
      <c r="I274" s="57"/>
    </row>
    <row r="275" spans="1:9" x14ac:dyDescent="0.2">
      <c r="A275" s="212" t="s">
        <v>122</v>
      </c>
      <c r="B275" s="72">
        <f>'Design Regulator'!E84/1000000000</f>
        <v>8.0000000000000005E-9</v>
      </c>
      <c r="C275" t="s">
        <v>134</v>
      </c>
      <c r="D275" s="72">
        <f>'Design Regulator'!F84/1000000000</f>
        <v>2.4999999999999999E-8</v>
      </c>
      <c r="E275" t="s">
        <v>134</v>
      </c>
      <c r="F275" s="114" t="s">
        <v>743</v>
      </c>
      <c r="I275" s="57"/>
    </row>
    <row r="276" spans="1:9" x14ac:dyDescent="0.2">
      <c r="A276" s="212" t="s">
        <v>534</v>
      </c>
      <c r="B276" s="72">
        <f>'Design Regulator'!E85/1000000000</f>
        <v>1.3999999999999999E-9</v>
      </c>
      <c r="C276" t="s">
        <v>134</v>
      </c>
      <c r="D276" s="72">
        <f>'Design Regulator'!F85/1000000000</f>
        <v>4.4999999999999998E-9</v>
      </c>
      <c r="E276" t="s">
        <v>134</v>
      </c>
      <c r="F276" t="s">
        <v>121</v>
      </c>
      <c r="I276" s="57"/>
    </row>
    <row r="277" spans="1:9" x14ac:dyDescent="0.2">
      <c r="A277" s="212" t="s">
        <v>535</v>
      </c>
      <c r="B277" s="72">
        <f>'Design Regulator'!E86/1000000000</f>
        <v>3.8000000000000001E-9</v>
      </c>
      <c r="C277" t="s">
        <v>134</v>
      </c>
      <c r="D277" s="72">
        <f>'Design Regulator'!F86/1000000000</f>
        <v>1.2E-8</v>
      </c>
      <c r="E277" t="s">
        <v>134</v>
      </c>
      <c r="F277" t="s">
        <v>826</v>
      </c>
      <c r="I277" s="57"/>
    </row>
    <row r="278" spans="1:9" x14ac:dyDescent="0.2">
      <c r="A278" s="643" t="s">
        <v>822</v>
      </c>
      <c r="B278" s="72">
        <f>'Design Regulator'!E87/1000000000</f>
        <v>0</v>
      </c>
      <c r="C278" t="s">
        <v>134</v>
      </c>
      <c r="D278" s="72">
        <f>'Design Regulator'!F87/1000000000</f>
        <v>2.9999999999999997E-8</v>
      </c>
      <c r="E278" t="s">
        <v>134</v>
      </c>
      <c r="F278" s="114" t="s">
        <v>824</v>
      </c>
      <c r="I278" s="57"/>
    </row>
    <row r="279" spans="1:9" x14ac:dyDescent="0.2">
      <c r="A279" s="643" t="s">
        <v>823</v>
      </c>
      <c r="B279" s="72">
        <f>'Design Regulator'!E88/1000000000000</f>
        <v>2.1299999999999999E-10</v>
      </c>
      <c r="C279" t="s">
        <v>24</v>
      </c>
      <c r="D279" s="72">
        <f>'Design Regulator'!F88/1000000000000</f>
        <v>1.6999999999999999E-9</v>
      </c>
      <c r="E279" t="s">
        <v>24</v>
      </c>
      <c r="F279" s="114" t="s">
        <v>825</v>
      </c>
      <c r="I279" s="57"/>
    </row>
    <row r="280" spans="1:9" x14ac:dyDescent="0.2">
      <c r="A280" s="212" t="s">
        <v>536</v>
      </c>
      <c r="B280" s="29">
        <f>'Design Regulator'!E89</f>
        <v>0.5</v>
      </c>
      <c r="C280" s="213" t="s">
        <v>116</v>
      </c>
      <c r="D280" s="29">
        <f>'Design Regulator'!F89</f>
        <v>0.5</v>
      </c>
      <c r="E280" s="213" t="s">
        <v>116</v>
      </c>
      <c r="F280" t="s">
        <v>100</v>
      </c>
      <c r="I280" s="57"/>
    </row>
    <row r="281" spans="1:9" x14ac:dyDescent="0.2">
      <c r="A281" s="212" t="s">
        <v>537</v>
      </c>
      <c r="B281" s="29">
        <f>'Design Regulator'!E90</f>
        <v>64</v>
      </c>
      <c r="C281" t="s">
        <v>66</v>
      </c>
      <c r="D281" s="29">
        <f>'Design Regulator'!F90</f>
        <v>280</v>
      </c>
      <c r="E281" t="s">
        <v>66</v>
      </c>
      <c r="F281" s="114" t="s">
        <v>747</v>
      </c>
      <c r="I281" s="57"/>
    </row>
    <row r="282" spans="1:9" x14ac:dyDescent="0.2">
      <c r="A282" s="212" t="s">
        <v>538</v>
      </c>
      <c r="B282" s="29">
        <f>'Design Regulator'!E91</f>
        <v>2.9</v>
      </c>
      <c r="C282" t="s">
        <v>0</v>
      </c>
      <c r="D282" s="29">
        <f>'Design Regulator'!F91</f>
        <v>3</v>
      </c>
      <c r="E282" t="s">
        <v>0</v>
      </c>
      <c r="F282" s="114" t="s">
        <v>748</v>
      </c>
      <c r="I282" s="57"/>
    </row>
    <row r="283" spans="1:9" x14ac:dyDescent="0.2">
      <c r="A283" s="212" t="s">
        <v>539</v>
      </c>
      <c r="B283" s="389">
        <f>Vth_Q1+(Iout/Number_of_Phases)/Gfs_Q1</f>
        <v>2.9781249999999999</v>
      </c>
      <c r="C283" t="s">
        <v>0</v>
      </c>
      <c r="D283" s="389">
        <f>Vth_Q2+(Iout/Number_of_Phases)/Gfs_Q2</f>
        <v>3.0178571428571428</v>
      </c>
      <c r="E283" t="s">
        <v>0</v>
      </c>
      <c r="F283" s="114" t="s">
        <v>749</v>
      </c>
      <c r="I283" s="57"/>
    </row>
    <row r="284" spans="1:9" x14ac:dyDescent="0.2">
      <c r="A284" s="56"/>
      <c r="C284"/>
      <c r="F284" s="114"/>
      <c r="I284" s="57"/>
    </row>
    <row r="285" spans="1:9" x14ac:dyDescent="0.2">
      <c r="A285" s="212" t="s">
        <v>541</v>
      </c>
      <c r="B285" s="29">
        <f>'Design Regulator'!E92</f>
        <v>0.7</v>
      </c>
      <c r="C285" t="s">
        <v>0</v>
      </c>
      <c r="D285" s="29">
        <f>'Design Regulator'!F92</f>
        <v>0.7</v>
      </c>
      <c r="E285" t="s">
        <v>0</v>
      </c>
      <c r="F285" s="114" t="s">
        <v>540</v>
      </c>
      <c r="I285" s="57"/>
    </row>
    <row r="286" spans="1:9" x14ac:dyDescent="0.2">
      <c r="A286" s="212" t="s">
        <v>498</v>
      </c>
      <c r="B286" s="72"/>
      <c r="C286" t="s">
        <v>134</v>
      </c>
      <c r="D286" s="72">
        <f>'Design Regulator'!F93/1000000000</f>
        <v>5.9999999999999995E-8</v>
      </c>
      <c r="E286" t="s">
        <v>134</v>
      </c>
      <c r="F286" t="s">
        <v>110</v>
      </c>
      <c r="I286" s="57"/>
    </row>
    <row r="287" spans="1:9" x14ac:dyDescent="0.2">
      <c r="A287" s="212" t="s">
        <v>499</v>
      </c>
      <c r="B287" s="72">
        <v>4.0000000000000001E-8</v>
      </c>
      <c r="C287" t="s">
        <v>133</v>
      </c>
      <c r="D287" s="72">
        <v>4.0000000000000001E-8</v>
      </c>
      <c r="E287" t="s">
        <v>133</v>
      </c>
      <c r="F287" t="s">
        <v>106</v>
      </c>
      <c r="I287" s="57"/>
    </row>
    <row r="288" spans="1:9" x14ac:dyDescent="0.2">
      <c r="A288" s="212" t="s">
        <v>600</v>
      </c>
      <c r="B288" s="29">
        <f>'Design Regulator'!E94</f>
        <v>50</v>
      </c>
      <c r="C288" s="114" t="s">
        <v>205</v>
      </c>
      <c r="D288" s="29">
        <f>'Design Regulator'!F94</f>
        <v>38</v>
      </c>
      <c r="E288" s="114" t="s">
        <v>205</v>
      </c>
      <c r="F288" s="114" t="s">
        <v>746</v>
      </c>
      <c r="I288" s="57"/>
    </row>
    <row r="289" spans="1:9" x14ac:dyDescent="0.2">
      <c r="A289" s="212"/>
      <c r="B289" s="29"/>
      <c r="C289" s="114"/>
      <c r="D289" s="29"/>
      <c r="E289" s="114"/>
      <c r="I289" s="57"/>
    </row>
    <row r="290" spans="1:9" x14ac:dyDescent="0.2">
      <c r="A290" s="212"/>
      <c r="B290" s="114"/>
      <c r="C290" s="114"/>
      <c r="D290" s="114"/>
      <c r="E290" s="114"/>
      <c r="I290" s="57"/>
    </row>
    <row r="291" spans="1:9" x14ac:dyDescent="0.2">
      <c r="A291" s="66" t="s">
        <v>739</v>
      </c>
      <c r="B291" s="2" t="s">
        <v>529</v>
      </c>
      <c r="C291"/>
      <c r="D291" s="2" t="s">
        <v>530</v>
      </c>
      <c r="I291" s="57"/>
    </row>
    <row r="292" spans="1:9" x14ac:dyDescent="0.2">
      <c r="A292" s="212" t="s">
        <v>533</v>
      </c>
      <c r="B292" s="29">
        <f>'Design Regulator'!H83/1000</f>
        <v>6.0000000000000001E-3</v>
      </c>
      <c r="C292" s="213" t="s">
        <v>116</v>
      </c>
      <c r="D292" s="29">
        <f>'Design Regulator'!I83/1000</f>
        <v>2.5000000000000001E-3</v>
      </c>
      <c r="E292" s="213" t="s">
        <v>116</v>
      </c>
      <c r="F292" s="114" t="s">
        <v>745</v>
      </c>
      <c r="I292" s="57"/>
    </row>
    <row r="293" spans="1:9" x14ac:dyDescent="0.2">
      <c r="A293" s="56" t="s">
        <v>80</v>
      </c>
      <c r="B293" s="408">
        <f>4000/1000000</f>
        <v>4.0000000000000001E-3</v>
      </c>
      <c r="C293" s="114" t="s">
        <v>279</v>
      </c>
      <c r="E293" s="114"/>
      <c r="F293" s="114" t="s">
        <v>407</v>
      </c>
      <c r="I293" s="57"/>
    </row>
    <row r="294" spans="1:9" x14ac:dyDescent="0.2">
      <c r="A294" s="212" t="s">
        <v>122</v>
      </c>
      <c r="B294" s="72">
        <f>'Design Regulator'!H84/1000000000</f>
        <v>8.0000000000000005E-9</v>
      </c>
      <c r="C294" t="s">
        <v>134</v>
      </c>
      <c r="D294" s="72">
        <f>'Design Regulator'!I84/1000000000</f>
        <v>2.4999999999999999E-8</v>
      </c>
      <c r="E294" t="s">
        <v>134</v>
      </c>
      <c r="F294" s="114" t="s">
        <v>743</v>
      </c>
      <c r="I294" s="57"/>
    </row>
    <row r="295" spans="1:9" x14ac:dyDescent="0.2">
      <c r="A295" s="212" t="s">
        <v>534</v>
      </c>
      <c r="B295" s="72">
        <f>'Design Regulator'!H85/1000000000</f>
        <v>1.3999999999999999E-9</v>
      </c>
      <c r="C295" t="s">
        <v>134</v>
      </c>
      <c r="D295" s="72">
        <f>'Design Regulator'!I85/1000000000</f>
        <v>4.4999999999999998E-9</v>
      </c>
      <c r="E295" t="s">
        <v>134</v>
      </c>
      <c r="F295" t="s">
        <v>121</v>
      </c>
      <c r="I295" s="57"/>
    </row>
    <row r="296" spans="1:9" x14ac:dyDescent="0.2">
      <c r="A296" s="212" t="s">
        <v>535</v>
      </c>
      <c r="B296" s="72">
        <f>'Design Regulator'!H86/1000000000</f>
        <v>3.8000000000000001E-9</v>
      </c>
      <c r="C296" t="s">
        <v>134</v>
      </c>
      <c r="D296" s="72">
        <f>'Design Regulator'!I86/1000000000</f>
        <v>1.2E-8</v>
      </c>
      <c r="E296" t="s">
        <v>134</v>
      </c>
      <c r="F296" t="s">
        <v>826</v>
      </c>
      <c r="I296" s="57"/>
    </row>
    <row r="297" spans="1:9" x14ac:dyDescent="0.2">
      <c r="A297" s="643" t="s">
        <v>822</v>
      </c>
      <c r="B297" s="72">
        <f>'Design Regulator'!H87/1000000000</f>
        <v>0</v>
      </c>
      <c r="C297" t="s">
        <v>134</v>
      </c>
      <c r="D297" s="72">
        <f>'Design Regulator'!I87/1000000000</f>
        <v>2.9999999999999997E-8</v>
      </c>
      <c r="E297" t="s">
        <v>134</v>
      </c>
      <c r="F297" s="114" t="s">
        <v>824</v>
      </c>
      <c r="I297" s="57"/>
    </row>
    <row r="298" spans="1:9" x14ac:dyDescent="0.2">
      <c r="A298" s="643" t="s">
        <v>823</v>
      </c>
      <c r="B298" s="72">
        <f>'Design Regulator'!H88/1000000000000</f>
        <v>2.1299999999999999E-10</v>
      </c>
      <c r="C298" t="s">
        <v>24</v>
      </c>
      <c r="D298" s="72">
        <f>'Design Regulator'!I88/1000000000000</f>
        <v>1.6999999999999999E-9</v>
      </c>
      <c r="E298" t="s">
        <v>24</v>
      </c>
      <c r="F298" s="114" t="s">
        <v>825</v>
      </c>
      <c r="I298" s="57"/>
    </row>
    <row r="299" spans="1:9" x14ac:dyDescent="0.2">
      <c r="A299" s="212" t="s">
        <v>536</v>
      </c>
      <c r="B299" s="29">
        <f>'Design Regulator'!H89</f>
        <v>0.5</v>
      </c>
      <c r="C299" s="213" t="s">
        <v>116</v>
      </c>
      <c r="D299" s="29">
        <f>'Design Regulator'!I89</f>
        <v>0.5</v>
      </c>
      <c r="E299" s="213" t="s">
        <v>116</v>
      </c>
      <c r="F299" t="s">
        <v>100</v>
      </c>
      <c r="I299" s="57"/>
    </row>
    <row r="300" spans="1:9" x14ac:dyDescent="0.2">
      <c r="A300" s="212" t="s">
        <v>537</v>
      </c>
      <c r="B300" s="29">
        <f>'Design Regulator'!H90</f>
        <v>64</v>
      </c>
      <c r="C300" t="s">
        <v>66</v>
      </c>
      <c r="D300" s="29">
        <f>'Design Regulator'!I90</f>
        <v>280</v>
      </c>
      <c r="E300" t="s">
        <v>66</v>
      </c>
      <c r="F300" s="114" t="s">
        <v>747</v>
      </c>
      <c r="I300" s="57"/>
    </row>
    <row r="301" spans="1:9" x14ac:dyDescent="0.2">
      <c r="A301" s="212" t="s">
        <v>538</v>
      </c>
      <c r="B301" s="29">
        <f>'Design Regulator'!H91</f>
        <v>2.9</v>
      </c>
      <c r="C301" t="s">
        <v>0</v>
      </c>
      <c r="D301" s="29">
        <f>'Design Regulator'!I91</f>
        <v>3</v>
      </c>
      <c r="E301" t="s">
        <v>0</v>
      </c>
      <c r="F301" s="114" t="s">
        <v>748</v>
      </c>
      <c r="I301" s="57"/>
    </row>
    <row r="302" spans="1:9" x14ac:dyDescent="0.2">
      <c r="A302" s="212" t="s">
        <v>539</v>
      </c>
      <c r="B302" s="389">
        <f>Vth_Q3+Iout2/Gfs_Q3</f>
        <v>2.9781249999999999</v>
      </c>
      <c r="C302" t="s">
        <v>0</v>
      </c>
      <c r="D302" s="389">
        <f>Vth_Q4+Iout2/Gfs_Q4</f>
        <v>3.0178571428571428</v>
      </c>
      <c r="E302" t="s">
        <v>0</v>
      </c>
      <c r="F302" s="114" t="s">
        <v>749</v>
      </c>
      <c r="I302" s="57"/>
    </row>
    <row r="303" spans="1:9" x14ac:dyDescent="0.2">
      <c r="E303" s="2"/>
      <c r="I303" s="57"/>
    </row>
    <row r="304" spans="1:9" x14ac:dyDescent="0.2">
      <c r="A304" s="212" t="s">
        <v>72</v>
      </c>
      <c r="B304" s="29">
        <f>'Design Regulator'!H92</f>
        <v>0.7</v>
      </c>
      <c r="C304" t="s">
        <v>0</v>
      </c>
      <c r="D304" s="29">
        <f>'Design Regulator'!I92</f>
        <v>0.7</v>
      </c>
      <c r="E304" t="s">
        <v>0</v>
      </c>
      <c r="F304" s="114" t="s">
        <v>540</v>
      </c>
      <c r="I304" s="57"/>
    </row>
    <row r="305" spans="1:9" x14ac:dyDescent="0.2">
      <c r="A305" s="56" t="s">
        <v>73</v>
      </c>
      <c r="B305" s="72"/>
      <c r="C305" t="s">
        <v>134</v>
      </c>
      <c r="D305" s="72">
        <f>'Design Regulator'!I93/1000000000</f>
        <v>5.9999999999999995E-8</v>
      </c>
      <c r="E305" t="s">
        <v>134</v>
      </c>
      <c r="F305" t="s">
        <v>110</v>
      </c>
      <c r="I305" s="57"/>
    </row>
    <row r="306" spans="1:9" x14ac:dyDescent="0.2">
      <c r="A306" s="56" t="s">
        <v>74</v>
      </c>
      <c r="B306" s="72">
        <v>4.0000000000000001E-8</v>
      </c>
      <c r="C306" t="s">
        <v>133</v>
      </c>
      <c r="D306" s="72">
        <v>4.0000000000000001E-8</v>
      </c>
      <c r="E306" t="s">
        <v>133</v>
      </c>
      <c r="F306" t="s">
        <v>106</v>
      </c>
      <c r="I306" s="57"/>
    </row>
    <row r="307" spans="1:9" x14ac:dyDescent="0.2">
      <c r="A307" s="212" t="s">
        <v>601</v>
      </c>
      <c r="B307" s="29">
        <f>'Design Regulator'!H94</f>
        <v>50</v>
      </c>
      <c r="C307" s="114" t="s">
        <v>205</v>
      </c>
      <c r="D307" s="29">
        <f>'Design Regulator'!I94</f>
        <v>38</v>
      </c>
      <c r="E307" s="114" t="s">
        <v>205</v>
      </c>
      <c r="F307" s="114" t="s">
        <v>746</v>
      </c>
      <c r="I307" s="57"/>
    </row>
    <row r="308" spans="1:9" x14ac:dyDescent="0.2">
      <c r="A308" s="212"/>
      <c r="B308" s="29"/>
      <c r="C308" s="114"/>
      <c r="D308" s="29"/>
      <c r="E308" s="114"/>
      <c r="I308" s="57"/>
    </row>
    <row r="309" spans="1:9" x14ac:dyDescent="0.2">
      <c r="A309" s="66" t="s">
        <v>522</v>
      </c>
      <c r="B309" s="486"/>
      <c r="D309" s="486"/>
      <c r="I309" s="57"/>
    </row>
    <row r="310" spans="1:9" x14ac:dyDescent="0.2">
      <c r="A310" s="56" t="s">
        <v>195</v>
      </c>
      <c r="B310" s="29">
        <f>'Design Regulator'!E97</f>
        <v>0</v>
      </c>
      <c r="C310" t="s">
        <v>0</v>
      </c>
      <c r="D310" s="29">
        <f>'Design Regulator'!F97</f>
        <v>0</v>
      </c>
      <c r="E310" t="s">
        <v>0</v>
      </c>
      <c r="F310" t="s">
        <v>198</v>
      </c>
      <c r="I310" s="57"/>
    </row>
    <row r="311" spans="1:9" x14ac:dyDescent="0.2">
      <c r="A311" s="56" t="s">
        <v>196</v>
      </c>
      <c r="B311" s="72">
        <f>'Design Regulator'!E98/1000000000</f>
        <v>0</v>
      </c>
      <c r="C311" t="s">
        <v>134</v>
      </c>
      <c r="D311" s="72">
        <f>'Design Regulator'!F98/1000000000</f>
        <v>0</v>
      </c>
      <c r="E311" t="s">
        <v>134</v>
      </c>
      <c r="F311" t="s">
        <v>199</v>
      </c>
      <c r="I311" s="57"/>
    </row>
    <row r="312" spans="1:9" x14ac:dyDescent="0.2">
      <c r="A312" s="56" t="s">
        <v>197</v>
      </c>
      <c r="B312" s="29">
        <v>0</v>
      </c>
      <c r="C312" t="s">
        <v>1</v>
      </c>
      <c r="D312" s="29">
        <v>0</v>
      </c>
      <c r="E312" t="s">
        <v>1</v>
      </c>
      <c r="F312" t="s">
        <v>200</v>
      </c>
      <c r="I312" s="57"/>
    </row>
    <row r="313" spans="1:9" x14ac:dyDescent="0.2">
      <c r="A313" s="56"/>
      <c r="C313"/>
      <c r="I313" s="57"/>
    </row>
    <row r="314" spans="1:9" x14ac:dyDescent="0.2">
      <c r="A314" s="66" t="s">
        <v>117</v>
      </c>
      <c r="C314"/>
      <c r="I314" s="57"/>
    </row>
    <row r="315" spans="1:9" x14ac:dyDescent="0.2">
      <c r="A315" s="212" t="s">
        <v>473</v>
      </c>
      <c r="B315" s="408">
        <v>34.799999999999997</v>
      </c>
      <c r="C315" s="114" t="s">
        <v>205</v>
      </c>
      <c r="D315" s="114"/>
      <c r="E315" s="114"/>
      <c r="F315" t="s">
        <v>477</v>
      </c>
      <c r="I315" s="57"/>
    </row>
    <row r="316" spans="1:9" x14ac:dyDescent="0.2">
      <c r="A316" s="66" t="s">
        <v>77</v>
      </c>
      <c r="C316"/>
      <c r="I316" s="57"/>
    </row>
    <row r="317" spans="1:9" x14ac:dyDescent="0.2">
      <c r="A317" s="212" t="s">
        <v>59</v>
      </c>
      <c r="C317"/>
      <c r="I317" s="57"/>
    </row>
    <row r="318" spans="1:9" x14ac:dyDescent="0.2">
      <c r="A318" s="56" t="s">
        <v>88</v>
      </c>
      <c r="B318" s="69">
        <f>(Qgd_Q1+Qgs_Q1/2)*(RdsonDRT+Rgate1)/(VCC-Vsp_Q1)</f>
        <v>2.4482225656877897E-9</v>
      </c>
      <c r="C318" t="s">
        <v>133</v>
      </c>
      <c r="D318" s="69">
        <f>(Qgd_Q3+Qgs_Q3/2)*(RdsonDRT+Rgate3)/(VCC-Vsp_Q3)</f>
        <v>2.4482225656877897E-9</v>
      </c>
      <c r="E318" t="s">
        <v>133</v>
      </c>
      <c r="I318" s="57"/>
    </row>
    <row r="319" spans="1:9" x14ac:dyDescent="0.2">
      <c r="A319" s="56" t="s">
        <v>89</v>
      </c>
      <c r="B319" s="69">
        <f>(Qgd_Q1+Qgs_Q1/2)*(RdsonDRT2+Rgate1)/(Vsp_Q1)</f>
        <v>1.1080797481636935E-9</v>
      </c>
      <c r="C319" t="s">
        <v>133</v>
      </c>
      <c r="D319" s="69">
        <f>(Qgd_Q3+Qgs_Q3/2)*(RdsonDRT2+Rgate3)/(Vsp_Q3)</f>
        <v>1.1080797481636935E-9</v>
      </c>
      <c r="E319" t="s">
        <v>133</v>
      </c>
      <c r="I319" s="57"/>
    </row>
    <row r="320" spans="1:9" x14ac:dyDescent="0.2">
      <c r="A320" s="56"/>
      <c r="C320"/>
      <c r="I320" s="57"/>
    </row>
    <row r="321" spans="1:9" x14ac:dyDescent="0.2">
      <c r="A321" s="66" t="s">
        <v>413</v>
      </c>
      <c r="B321" s="2" t="s">
        <v>7</v>
      </c>
      <c r="C321" s="2" t="s">
        <v>76</v>
      </c>
      <c r="I321" s="57"/>
    </row>
    <row r="322" spans="1:9" x14ac:dyDescent="0.2">
      <c r="A322" s="58" t="s">
        <v>115</v>
      </c>
      <c r="B322" s="3">
        <f>CHOOSE(Ext_VCC, IF(MODE=1, (Qg_Q1+Qg_Q2+Qg_Q3+Qg_Q4)*Fsw*VCC, (Qg_Q1+Qg_Q2)*2*Fsw*VCC), IF(MODE=1, (Qg_Q1+Qg_Q2+Qg_Q3+Qg_Q4)*Fsw*Vin, (Qg_Q1+Qg_Q2)*2*Fsw*Vin))</f>
        <v>0.65999999999999992</v>
      </c>
      <c r="C322" s="3" t="s">
        <v>116</v>
      </c>
      <c r="I322" s="57"/>
    </row>
    <row r="323" spans="1:9" x14ac:dyDescent="0.2">
      <c r="A323" s="58" t="s">
        <v>119</v>
      </c>
      <c r="B323" s="642">
        <f>B322*ThetaJaCtrl</f>
        <v>22.967999999999996</v>
      </c>
      <c r="C323" s="114" t="s">
        <v>226</v>
      </c>
      <c r="I323" s="57"/>
    </row>
    <row r="324" spans="1:9" x14ac:dyDescent="0.2">
      <c r="A324" s="212" t="s">
        <v>807</v>
      </c>
      <c r="B324" s="642">
        <f>B323 + Ta</f>
        <v>47.967999999999996</v>
      </c>
      <c r="C324" s="114" t="s">
        <v>226</v>
      </c>
      <c r="I324" s="57"/>
    </row>
    <row r="325" spans="1:9" x14ac:dyDescent="0.2">
      <c r="A325" s="643"/>
      <c r="B325" s="642"/>
      <c r="C325" s="114"/>
      <c r="I325" s="57"/>
    </row>
    <row r="326" spans="1:9" x14ac:dyDescent="0.2">
      <c r="A326" s="58" t="s">
        <v>210</v>
      </c>
      <c r="B326" s="42">
        <f>(Qg_Q1+Qg_Q2)*Fsw+Iq</f>
        <v>6.6034999999999983E-2</v>
      </c>
      <c r="C326" t="s">
        <v>1</v>
      </c>
      <c r="I326" s="57"/>
    </row>
    <row r="327" spans="1:9" x14ac:dyDescent="0.2">
      <c r="A327" s="58" t="s">
        <v>211</v>
      </c>
      <c r="B327">
        <f>Qrr_Q2*Fsw</f>
        <v>0.12</v>
      </c>
      <c r="C327" t="s">
        <v>1</v>
      </c>
      <c r="I327" s="57"/>
    </row>
    <row r="328" spans="1:9" x14ac:dyDescent="0.2">
      <c r="A328" s="58" t="s">
        <v>212</v>
      </c>
      <c r="B328" t="e">
        <f>C328/Vin</f>
        <v>#NAME?</v>
      </c>
      <c r="C328" t="e">
        <f>Deadtime*Fsw*(Ipp/2)*(Vsd_Q1+Vsd_Q2)</f>
        <v>#NAME?</v>
      </c>
      <c r="I328" s="57"/>
    </row>
    <row r="329" spans="1:9" x14ac:dyDescent="0.2">
      <c r="A329" s="58" t="s">
        <v>214</v>
      </c>
      <c r="B329" t="e">
        <f>SUM(B326:B328)</f>
        <v>#NAME?</v>
      </c>
      <c r="C329" t="s">
        <v>1</v>
      </c>
      <c r="I329" s="57"/>
    </row>
    <row r="330" spans="1:9" x14ac:dyDescent="0.2">
      <c r="A330" s="56"/>
      <c r="I330" s="57"/>
    </row>
    <row r="331" spans="1:9" x14ac:dyDescent="0.2">
      <c r="A331" s="66" t="s">
        <v>440</v>
      </c>
      <c r="I331" s="57"/>
    </row>
    <row r="332" spans="1:9" x14ac:dyDescent="0.2">
      <c r="A332" s="56" t="s">
        <v>114</v>
      </c>
      <c r="I332" s="57"/>
    </row>
    <row r="333" spans="1:9" ht="13.5" thickBot="1" x14ac:dyDescent="0.25">
      <c r="A333" s="60" t="s">
        <v>115</v>
      </c>
      <c r="B333" s="61"/>
      <c r="C333" s="298"/>
      <c r="D333" s="61"/>
      <c r="E333" s="61"/>
      <c r="F333" s="61"/>
      <c r="G333" s="61"/>
      <c r="H333" s="61"/>
      <c r="I333" s="62"/>
    </row>
    <row r="334" spans="1:9" x14ac:dyDescent="0.2">
      <c r="A334" s="1"/>
      <c r="B334" s="1"/>
      <c r="C334" s="1"/>
    </row>
    <row r="335" spans="1:9" ht="21.75" customHeight="1" thickBot="1" x14ac:dyDescent="0.3">
      <c r="A335" s="89" t="s">
        <v>206</v>
      </c>
      <c r="D335" s="2"/>
    </row>
    <row r="336" spans="1:9" x14ac:dyDescent="0.2">
      <c r="A336" s="90" t="str">
        <f>"RC1 = "&amp;'Design Regulator'!D70&amp;"kΩ"</f>
        <v>RC1 = 75kΩ</v>
      </c>
      <c r="B336" s="63" t="str">
        <f>'Design Regulator'!D70&amp;"kΩ"</f>
        <v>75kΩ</v>
      </c>
      <c r="C336" s="297"/>
      <c r="D336" s="292" t="str">
        <f>'Design Regulator'!D73&amp;"kΩ"</f>
        <v>60.4kΩ</v>
      </c>
      <c r="E336" s="63"/>
      <c r="F336" s="63"/>
      <c r="G336" s="63"/>
      <c r="H336" s="63"/>
      <c r="I336" s="64"/>
    </row>
    <row r="337" spans="1:9" x14ac:dyDescent="0.2">
      <c r="A337" s="56" t="str">
        <f>"RC2 = "&amp;'Design Regulator'!D73&amp;"kΩ"</f>
        <v>RC2 = 60.4kΩ</v>
      </c>
      <c r="B337" t="str">
        <f>'Design Regulator'!D73&amp;"kΩ"</f>
        <v>60.4kΩ</v>
      </c>
      <c r="I337" s="57"/>
    </row>
    <row r="338" spans="1:9" x14ac:dyDescent="0.2">
      <c r="A338" s="56"/>
      <c r="I338" s="57"/>
    </row>
    <row r="339" spans="1:9" x14ac:dyDescent="0.2">
      <c r="A339" s="56" t="str">
        <f>"LF = "&amp;'Design Regulator'!E28&amp;"µH"</f>
        <v>LF = 1.5µH</v>
      </c>
      <c r="B339" t="str">
        <f>'Design Regulator'!E28&amp;"µH"</f>
        <v>1.5µH</v>
      </c>
      <c r="D339" t="str">
        <f>IF(MODE = 1, 'Design Regulator'!J28&amp;"µH", 'Design Regulator'!E28&amp;"µH")</f>
        <v>1.5µH</v>
      </c>
      <c r="I339" s="57"/>
    </row>
    <row r="340" spans="1:9" x14ac:dyDescent="0.2">
      <c r="A340" s="56" t="str">
        <f>"Rdcr = "&amp;Rdcr*1000&amp;"mΩ"</f>
        <v>Rdcr = 4mΩ</v>
      </c>
      <c r="B340" t="str">
        <f>Rdcr*1000&amp;"mΩ"</f>
        <v>4mΩ</v>
      </c>
      <c r="D340" t="str">
        <f>IF(MODE=1, Rdcr2*1000&amp;"mΩ", Rdcr*1000&amp;"mΩ")</f>
        <v>5mΩ</v>
      </c>
      <c r="I340" s="57"/>
    </row>
    <row r="341" spans="1:9" x14ac:dyDescent="0.2">
      <c r="A341" s="56" t="str">
        <f>"Rs = "&amp;'Design Regulator'!E19&amp;"mΩ"</f>
        <v>Rs = 4mΩ</v>
      </c>
      <c r="B341" t="str">
        <f>CHOOSE(SENSING_TYPE, 'Design Regulator'!E19&amp;"mΩ", Rdcr*1000&amp;"mΩ")</f>
        <v>4mΩ</v>
      </c>
      <c r="D341" t="str">
        <f>IF(MODE = 1, 'Design Regulator'!J19&amp;"mΩ", CHOOSE(SENSING_TYPE, 'Design Regulator'!E19&amp;"mΩ", Rdcr*1000&amp;"mΩ"))</f>
        <v>4mΩ</v>
      </c>
      <c r="I341" s="57"/>
    </row>
    <row r="342" spans="1:9" x14ac:dyDescent="0.2">
      <c r="A342" s="56"/>
      <c r="I342" s="57"/>
    </row>
    <row r="343" spans="1:9" x14ac:dyDescent="0.2">
      <c r="A343" s="56" t="str">
        <f>"VOUT = "&amp;'Design Regulator'!E10&amp;"V"</f>
        <v>VOUT = 20V</v>
      </c>
      <c r="B343" t="str">
        <f>'Design Regulator'!E10&amp;"V"</f>
        <v>20V</v>
      </c>
      <c r="D343" t="str">
        <f>IF(MODE=1, 'Design Regulator'!J10&amp;"V", "")</f>
        <v>20V</v>
      </c>
      <c r="I343" s="57"/>
    </row>
    <row r="344" spans="1:9" x14ac:dyDescent="0.2">
      <c r="A344" s="56"/>
      <c r="I344" s="57"/>
    </row>
    <row r="345" spans="1:9" x14ac:dyDescent="0.2">
      <c r="A345" s="56" t="str">
        <f>"COUT = "&amp;'Design Regulator'!$E$35&amp;"µF"</f>
        <v>COUT = 150µF</v>
      </c>
      <c r="B345" t="str">
        <f>ROUND('Design Regulator'!$E$35/Number_of_Phases, 0)&amp;"µF"</f>
        <v>150µF</v>
      </c>
      <c r="D345" t="str">
        <f>IF(MODE=1, 'Design Regulator'!$J$35&amp;"µF", ROUND('Design Regulator'!$E$35/Number_of_Phases, 0)&amp;"µF")</f>
        <v>120µF</v>
      </c>
      <c r="I345" s="57"/>
    </row>
    <row r="346" spans="1:9" x14ac:dyDescent="0.2">
      <c r="A346" s="212" t="s">
        <v>266</v>
      </c>
      <c r="B346" t="str">
        <f>"22µF"</f>
        <v>22µF</v>
      </c>
      <c r="I346" s="57"/>
    </row>
    <row r="347" spans="1:9" x14ac:dyDescent="0.2">
      <c r="A347" s="212" t="s">
        <v>267</v>
      </c>
      <c r="B347" s="116" t="str">
        <f>ROUNDUP(Cout*1000000/22,0)&amp;" x"</f>
        <v>7 x</v>
      </c>
      <c r="C347" s="299"/>
      <c r="I347" s="57"/>
    </row>
    <row r="348" spans="1:9" x14ac:dyDescent="0.2">
      <c r="A348" s="56"/>
      <c r="I348" s="57"/>
    </row>
    <row r="349" spans="1:9" x14ac:dyDescent="0.2">
      <c r="A349" s="56" t="s">
        <v>215</v>
      </c>
      <c r="B349" t="str">
        <f>Cin*1000000&amp;"µF"</f>
        <v>50µF</v>
      </c>
      <c r="I349" s="57"/>
    </row>
    <row r="350" spans="1:9" x14ac:dyDescent="0.2">
      <c r="A350" s="212" t="s">
        <v>265</v>
      </c>
      <c r="B350" t="str">
        <f>"10µF"</f>
        <v>10µF</v>
      </c>
      <c r="I350" s="57"/>
    </row>
    <row r="351" spans="1:9" x14ac:dyDescent="0.2">
      <c r="A351" s="212" t="s">
        <v>264</v>
      </c>
      <c r="B351" s="116" t="str">
        <f>ROUNDUP(Cin*1000000/10,0)&amp;" x"</f>
        <v>5 x</v>
      </c>
      <c r="C351" s="299"/>
      <c r="I351" s="57"/>
    </row>
    <row r="352" spans="1:9" x14ac:dyDescent="0.2">
      <c r="A352" s="212"/>
      <c r="B352" s="116"/>
      <c r="C352" s="299"/>
      <c r="I352" s="57"/>
    </row>
    <row r="353" spans="1:9" x14ac:dyDescent="0.2">
      <c r="A353" s="56" t="str">
        <f>"RC1 = "&amp;Rcea1_u/1000&amp;"kΩ"</f>
        <v>RC1 = 75kΩ</v>
      </c>
      <c r="B353" t="str">
        <f>ROUND(Rcea1_u/1000,2)&amp;"kΩ"</f>
        <v>75kΩ</v>
      </c>
      <c r="C353" s="114" t="str">
        <f>IF(MODE=1, "Rc2", "")</f>
        <v>Rc2</v>
      </c>
      <c r="D353" t="str">
        <f>IF(MODE=1, ROUND(Rcea2_u/1000,2)&amp;"kΩ", "")</f>
        <v>60.4kΩ</v>
      </c>
      <c r="E353">
        <f>IF(MODE=1, ROUND(Rcea2_u/1000,2), "")</f>
        <v>60.4</v>
      </c>
      <c r="I353" s="57"/>
    </row>
    <row r="354" spans="1:9" x14ac:dyDescent="0.2">
      <c r="A354" s="56" t="str">
        <f>"CC1 = "&amp;Cc1ea_u*10^9&amp;"nF"</f>
        <v>CC1 = 0.33nF</v>
      </c>
      <c r="B354" t="str">
        <f>Cc1ea_u*10^9&amp;"nF"</f>
        <v>0.33nF</v>
      </c>
      <c r="C354" s="114" t="str">
        <f>IF(MODE=1, "Cc3", "")</f>
        <v>Cc3</v>
      </c>
      <c r="D354" t="str">
        <f>IF(MODE=1, Cc3ea_u*10^9&amp;"nF", "")</f>
        <v>0.47nF</v>
      </c>
      <c r="E354">
        <f>IF(MODE=1, Cc3ea_u*10^9, "")</f>
        <v>0.47000000000000003</v>
      </c>
      <c r="I354" s="57"/>
    </row>
    <row r="355" spans="1:9" x14ac:dyDescent="0.2">
      <c r="A355" s="56" t="str">
        <f>"CC2 = "&amp;IF(Cc2ea_u&gt;0, Cc2ea_u*10^12&amp;"pF", "OPEN")</f>
        <v>CC2 = OPEN</v>
      </c>
      <c r="B355" t="str">
        <f>IF(Cc2ea_u&gt;0, ROUND(Cc2ea_u*10^12,1)&amp;"pF", "N/A")</f>
        <v>N/A</v>
      </c>
      <c r="C355" s="114" t="str">
        <f>IF(MODE=1, "Cc4", "")</f>
        <v>Cc4</v>
      </c>
      <c r="D355" t="str">
        <f>IF(MODE=1, IF(Cc4ea_u&gt;0, ROUND(Cc4ea_u*10^12,1)&amp;"pF", "N/A"), "")</f>
        <v>N/A</v>
      </c>
      <c r="E355" t="str">
        <f>IF(MODE=1, IF(Cc4ea_u&gt;0, ROUND(Cc4ea_u*10^12,1), "N/A"), "")</f>
        <v>N/A</v>
      </c>
      <c r="I355" s="57"/>
    </row>
    <row r="356" spans="1:9" x14ac:dyDescent="0.2">
      <c r="A356" s="56"/>
      <c r="I356" s="57"/>
    </row>
    <row r="357" spans="1:9" x14ac:dyDescent="0.2">
      <c r="A357" s="56" t="str">
        <f>"gm = "&amp;$B$184*1000&amp;"mS"</f>
        <v>gm = 1.2mS</v>
      </c>
      <c r="B357" t="str">
        <f>$B$184*1000&amp;"mS"</f>
        <v>1.2mS</v>
      </c>
      <c r="I357" s="57"/>
    </row>
    <row r="358" spans="1:9" x14ac:dyDescent="0.2">
      <c r="A358" s="56" t="str">
        <f>"RoEA = "&amp;RoEA/1000000&amp;"MΩ"</f>
        <v>RoEA = 64MΩ</v>
      </c>
      <c r="B358" t="str">
        <f>RoEA/1000000&amp;"MΩ"</f>
        <v>64MΩ</v>
      </c>
      <c r="I358" s="57"/>
    </row>
    <row r="359" spans="1:9" x14ac:dyDescent="0.2">
      <c r="A359" s="56" t="str">
        <f>"GBW = "&amp;GBW&amp;"MHz"</f>
        <v>GBW = 30MHz</v>
      </c>
      <c r="B359" t="str">
        <f>GBW&amp;"MHz"</f>
        <v>30MHz</v>
      </c>
      <c r="I359" s="57"/>
    </row>
    <row r="360" spans="1:9" x14ac:dyDescent="0.2">
      <c r="A360" s="56"/>
      <c r="I360" s="57"/>
    </row>
    <row r="361" spans="1:9" x14ac:dyDescent="0.2">
      <c r="A361" s="56" t="e">
        <f>"Cslope = "&amp;Cslope&amp;"pF"</f>
        <v>#NAME?</v>
      </c>
      <c r="B361" t="e">
        <f>ROUND(Cslope*1,0)&amp;"pF"</f>
        <v>#NAME?</v>
      </c>
      <c r="I361" s="57"/>
    </row>
    <row r="362" spans="1:9" x14ac:dyDescent="0.2">
      <c r="A362" s="56" t="str">
        <f>IF(DITHER=1, "Cdither = "&amp;Cdither*1000000000&amp;"nF", "")</f>
        <v/>
      </c>
      <c r="B362" t="str">
        <f>IF(DITHER=1, ROUND(Cdither*1000000000,1)&amp;"nF", "")</f>
        <v/>
      </c>
      <c r="C362" s="2" t="str">
        <f>IF(DITHER=1, "Cd", "")</f>
        <v/>
      </c>
      <c r="I362" s="57"/>
    </row>
    <row r="363" spans="1:9" x14ac:dyDescent="0.2">
      <c r="A363" s="56" t="str">
        <f>"RFB1 = "&amp;'Design Regulator'!E65&amp;"kΩ"</f>
        <v>RFB1 = 39.3kΩ</v>
      </c>
      <c r="B363" t="str">
        <f>'Design Regulator'!E65&amp;"kΩ"</f>
        <v>39.3kΩ</v>
      </c>
      <c r="D363" t="str">
        <f>'Design Regulator'!J65&amp;"kΩ"</f>
        <v>115kΩ</v>
      </c>
      <c r="I363" s="57"/>
    </row>
    <row r="364" spans="1:9" x14ac:dyDescent="0.2">
      <c r="A364" s="56" t="str">
        <f>"RFB2 = "&amp;IF(Vout=Vref,"OPEN",'Design Regulator'!E66&amp;"kΩ")</f>
        <v>RFB2 = 1.21kΩ</v>
      </c>
      <c r="B364" t="str">
        <f>IF(Vout=Vref,"OPEN",Rfb2_u/1000&amp;"kΩ")</f>
        <v>1.21kΩ</v>
      </c>
      <c r="D364" t="str">
        <f>IF(Vout2=Vref,"OPEN",Rfb4_u/1000&amp;"kΩ")</f>
        <v>3.57kΩ</v>
      </c>
      <c r="I364" s="57"/>
    </row>
    <row r="365" spans="1:9" x14ac:dyDescent="0.2">
      <c r="A365" s="56" t="str">
        <f>CHOOSE(BODE_PLOT_TYPE, "Crossover Frequency = "&amp;ROUND('Stability Calculations'!Q4,1)&amp;" kHz",  "Crossover Frequency = "&amp;ROUND('Ch2 Stability Calculations'!Q4,1)&amp;" kHz")</f>
        <v>Crossover Frequency = 59.2 kHz</v>
      </c>
      <c r="B365" t="str">
        <f>CHOOSE(BODE_PLOT_TYPE, ROUND('Stability Calculations'!Q4,1)&amp;" kHz", ROUND('Ch2 Stability Calculations'!Q4,1)&amp;" kHz")</f>
        <v>59.2 kHz</v>
      </c>
      <c r="D365" s="115">
        <f>'Stability Calculations'!Q4</f>
        <v>59.226999999999997</v>
      </c>
      <c r="I365" s="57"/>
    </row>
    <row r="366" spans="1:9" x14ac:dyDescent="0.2">
      <c r="A366" s="56" t="str">
        <f>CHOOSE(BODE_PLOT_TYPE, "Phase Margin = "&amp;ROUND('Stability Calculations'!Q5,0)&amp;"°", "Phase Margin = "&amp;ROUND('Ch2 Stability Calculations'!Q5,0)&amp;"°")</f>
        <v>Phase Margin = 76°</v>
      </c>
      <c r="B366" s="116" t="str">
        <f>CHOOSE(BODE_PLOT_TYPE, ROUND('Stability Calculations'!Q5,0)&amp;"°", ROUND('Ch2 Stability Calculations'!Q5,0)&amp;"°")</f>
        <v>76°</v>
      </c>
      <c r="C366" s="299"/>
      <c r="E366" s="213"/>
      <c r="I366" s="57"/>
    </row>
    <row r="367" spans="1:9" x14ac:dyDescent="0.2">
      <c r="A367" s="56"/>
      <c r="B367" s="116"/>
      <c r="C367" s="299"/>
      <c r="E367" s="213"/>
      <c r="I367" s="57"/>
    </row>
    <row r="368" spans="1:9" x14ac:dyDescent="0.2">
      <c r="A368" s="66" t="s">
        <v>598</v>
      </c>
      <c r="B368" s="492" t="str">
        <f>IF(PLOT_TYPE=1, ROUND('Efficiency Calculations'!AZ109,1)&amp;"%", ROUND('Ch2 Efficiency Calculations'!AZ109,1)&amp;"%")</f>
        <v>95.3%</v>
      </c>
      <c r="C368" s="299"/>
      <c r="D368" s="492"/>
      <c r="E368" s="213"/>
      <c r="I368" s="57"/>
    </row>
    <row r="369" spans="1:9" x14ac:dyDescent="0.2">
      <c r="A369" s="66" t="s">
        <v>599</v>
      </c>
      <c r="B369" s="492" t="str">
        <f>IF(PLOT_TYPE=1, ROUND('Efficiency Calculations'!AZ59,1)&amp;"%", ROUND('Ch2 Efficiency Calculations'!AZ59,1)&amp;"%")</f>
        <v>94.4%</v>
      </c>
      <c r="C369" s="299"/>
      <c r="D369" s="492"/>
      <c r="E369" s="213"/>
      <c r="I369" s="57"/>
    </row>
    <row r="370" spans="1:9" x14ac:dyDescent="0.2">
      <c r="A370" s="56"/>
      <c r="B370" s="116"/>
      <c r="C370" s="299"/>
      <c r="E370" s="213"/>
      <c r="I370" s="57"/>
    </row>
    <row r="371" spans="1:9" x14ac:dyDescent="0.2">
      <c r="A371" s="56" t="str">
        <f>"CDITH = "&amp;Cdither*1000000000&amp;"nF"</f>
        <v>CDITH = 10nF</v>
      </c>
      <c r="B371" t="str">
        <f>Cdither*1000000000&amp;"nF"</f>
        <v>10nF</v>
      </c>
      <c r="I371" s="57"/>
    </row>
    <row r="372" spans="1:9" x14ac:dyDescent="0.2">
      <c r="A372" s="56" t="str">
        <f>"Rs = "&amp;Rs&amp;"Ω"</f>
        <v>Rs = 0.004Ω</v>
      </c>
      <c r="B372" t="str">
        <f>'Standard Value Calculator'!O6&amp;"Ω"</f>
        <v>Ω</v>
      </c>
      <c r="I372" s="57"/>
    </row>
    <row r="373" spans="1:9" x14ac:dyDescent="0.2">
      <c r="A373" s="56" t="s">
        <v>189</v>
      </c>
      <c r="B373" t="str">
        <f>'Standard Value Calculator'!O16&amp;"mΩ"</f>
        <v>4.53mΩ</v>
      </c>
      <c r="I373" s="57"/>
    </row>
    <row r="374" spans="1:9" x14ac:dyDescent="0.2">
      <c r="A374" s="56" t="s">
        <v>167</v>
      </c>
      <c r="B374" t="str">
        <f>'Standard Value Calculator'!O6&amp;"mΩ"</f>
        <v>mΩ</v>
      </c>
      <c r="I374" s="57"/>
    </row>
    <row r="375" spans="1:9" x14ac:dyDescent="0.2">
      <c r="A375" s="56" t="e">
        <f>"Rshunt = "&amp;ROUND(Rshunt,1)&amp;"mΩ"</f>
        <v>#NAME?</v>
      </c>
      <c r="B375" t="e">
        <f>IF(Rshunt="0", "N/A",ROUND(Rshunt,1)&amp;"mΩ")</f>
        <v>#NAME?</v>
      </c>
      <c r="I375" s="57"/>
    </row>
    <row r="376" spans="1:9" x14ac:dyDescent="0.2">
      <c r="A376" s="56"/>
      <c r="I376" s="57"/>
    </row>
    <row r="377" spans="1:9" x14ac:dyDescent="0.2">
      <c r="A377" s="212" t="s">
        <v>262</v>
      </c>
      <c r="B377" s="114" t="s">
        <v>263</v>
      </c>
      <c r="I377" s="57"/>
    </row>
    <row r="378" spans="1:9" x14ac:dyDescent="0.2">
      <c r="A378" s="212"/>
      <c r="B378" s="114"/>
      <c r="I378" s="57"/>
    </row>
    <row r="379" spans="1:9" x14ac:dyDescent="0.2">
      <c r="A379" s="212"/>
      <c r="B379" s="114"/>
      <c r="I379" s="57"/>
    </row>
    <row r="380" spans="1:9" x14ac:dyDescent="0.2">
      <c r="A380" s="212" t="s">
        <v>280</v>
      </c>
      <c r="B380" t="str">
        <f>'Standard Value Calculator'!O4/1000&amp;"kΩ"</f>
        <v>11kΩ</v>
      </c>
      <c r="I380" s="57"/>
    </row>
    <row r="381" spans="1:9" x14ac:dyDescent="0.2">
      <c r="A381" s="56" t="s">
        <v>152</v>
      </c>
      <c r="B381" t="str">
        <f>IF(MODE=1, 'Standard Value Calculator'!B4*1000000000&amp;"nF", "")</f>
        <v>100nF</v>
      </c>
      <c r="C381" s="114" t="str">
        <f>IF(MODE=1,"Css1","")</f>
        <v>Css1</v>
      </c>
      <c r="I381" s="57"/>
    </row>
    <row r="382" spans="1:9" x14ac:dyDescent="0.2">
      <c r="A382" s="643" t="s">
        <v>814</v>
      </c>
      <c r="B382" t="str">
        <f xml:space="preserve"> 'Standard Value Calculator'!B4*1000000000&amp;"nF"</f>
        <v>100nF</v>
      </c>
      <c r="C382" s="114" t="str">
        <f>IF(MODE=1,"Css2","Css")</f>
        <v>Css2</v>
      </c>
      <c r="I382" s="57"/>
    </row>
    <row r="383" spans="1:9" x14ac:dyDescent="0.2">
      <c r="A383" s="212" t="s">
        <v>682</v>
      </c>
      <c r="B383" t="str">
        <f>IF(Cres_u = 0, "N/A", Cres_u*1000000000 &amp;"nF")</f>
        <v>470nF</v>
      </c>
      <c r="D383">
        <f>Cres_u</f>
        <v>4.7E-7</v>
      </c>
      <c r="I383" s="57"/>
    </row>
    <row r="384" spans="1:9" x14ac:dyDescent="0.2">
      <c r="A384" s="643"/>
      <c r="I384" s="57"/>
    </row>
    <row r="385" spans="1:9" x14ac:dyDescent="0.2">
      <c r="A385" s="56" t="s">
        <v>190</v>
      </c>
      <c r="B385" t="str">
        <f>IF(B76="y","","|")</f>
        <v>|</v>
      </c>
      <c r="I385" s="57"/>
    </row>
    <row r="386" spans="1:9" x14ac:dyDescent="0.2">
      <c r="A386" s="56" t="s">
        <v>207</v>
      </c>
      <c r="B386" t="str">
        <f>'Design Regulator'!$E$11&amp;"A"</f>
        <v>5A</v>
      </c>
      <c r="D386" t="str">
        <f>IF(MODE=1,'Design Regulator'!$J$11&amp;"A","")</f>
        <v>5A</v>
      </c>
      <c r="I386" s="57"/>
    </row>
    <row r="387" spans="1:9" x14ac:dyDescent="0.2">
      <c r="A387" s="56" t="s">
        <v>144</v>
      </c>
      <c r="B387" t="str">
        <f>VIN_nom&amp;"V"</f>
        <v>21V</v>
      </c>
      <c r="I387" s="57"/>
    </row>
    <row r="388" spans="1:9" x14ac:dyDescent="0.2">
      <c r="A388" s="212" t="s">
        <v>608</v>
      </c>
      <c r="B388" t="str">
        <f>VIN_min&amp;"V"&amp;"..."&amp;VIN_max&amp;"V"</f>
        <v>20V...26V</v>
      </c>
      <c r="I388" s="57"/>
    </row>
    <row r="389" spans="1:9" x14ac:dyDescent="0.2">
      <c r="A389" s="56"/>
      <c r="I389" s="57"/>
    </row>
    <row r="390" spans="1:9" ht="13.5" thickBot="1" x14ac:dyDescent="0.2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6.140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
      <c r="B3" s="320" t="s">
        <v>330</v>
      </c>
      <c r="C3" s="404">
        <f>Afb</f>
        <v>0.03</v>
      </c>
      <c r="D3" s="322" t="s">
        <v>28</v>
      </c>
      <c r="E3" s="323" t="s">
        <v>331</v>
      </c>
      <c r="F3" s="404">
        <f>Acs</f>
        <v>20.833333333333332</v>
      </c>
      <c r="G3" s="322" t="s">
        <v>419</v>
      </c>
      <c r="H3" s="415" t="s">
        <v>347</v>
      </c>
      <c r="I3" s="427">
        <f>gm</f>
        <v>1.1999999999999999E-3</v>
      </c>
      <c r="J3" s="323" t="s">
        <v>438</v>
      </c>
      <c r="K3" s="324">
        <f>Fesr</f>
        <v>530516.47757918795</v>
      </c>
      <c r="L3" s="322" t="s">
        <v>9</v>
      </c>
      <c r="M3" s="323" t="s">
        <v>333</v>
      </c>
      <c r="N3" s="324">
        <f>Fsw/2</f>
        <v>1000000</v>
      </c>
      <c r="O3" s="322" t="s">
        <v>9</v>
      </c>
      <c r="P3" s="325" t="s">
        <v>334</v>
      </c>
      <c r="Q3" s="324">
        <f>Am*Afb*AEA</f>
        <v>125841.14745733875</v>
      </c>
      <c r="R3" s="322" t="s">
        <v>28</v>
      </c>
    </row>
    <row r="4" spans="1:31" x14ac:dyDescent="0.2">
      <c r="B4" s="320" t="s">
        <v>443</v>
      </c>
      <c r="C4" s="324">
        <f>Fz1_u</f>
        <v>6430.5027585356102</v>
      </c>
      <c r="D4" s="322" t="s">
        <v>9</v>
      </c>
      <c r="E4" s="323" t="s">
        <v>336</v>
      </c>
      <c r="F4" s="329">
        <f>Am</f>
        <v>54.618553583914391</v>
      </c>
      <c r="G4" s="322" t="s">
        <v>28</v>
      </c>
      <c r="H4" s="416"/>
      <c r="I4" s="416"/>
      <c r="J4" s="323" t="s">
        <v>437</v>
      </c>
      <c r="K4" s="324">
        <f>Fp_dominant</f>
        <v>404.71326650027254</v>
      </c>
      <c r="L4" s="322" t="s">
        <v>9</v>
      </c>
      <c r="M4" s="323" t="s">
        <v>338</v>
      </c>
      <c r="N4" s="402">
        <f>Q*pole3</f>
        <v>807278.8413679474</v>
      </c>
      <c r="O4" s="322"/>
      <c r="P4" s="325" t="s">
        <v>339</v>
      </c>
      <c r="Q4" s="365">
        <f>AE7</f>
        <v>59.226999999999997</v>
      </c>
      <c r="R4" s="322" t="s">
        <v>2</v>
      </c>
    </row>
    <row r="5" spans="1:31" x14ac:dyDescent="0.2">
      <c r="B5" s="320" t="s">
        <v>442</v>
      </c>
      <c r="C5" s="404">
        <f>Fp1_u</f>
        <v>7.5269248051528796</v>
      </c>
      <c r="D5" s="322" t="s">
        <v>9</v>
      </c>
      <c r="E5" s="323" t="s">
        <v>27</v>
      </c>
      <c r="F5" s="404">
        <f>Q</f>
        <v>0.80727884136794736</v>
      </c>
      <c r="G5" s="322"/>
      <c r="H5" s="416"/>
      <c r="I5" s="416"/>
      <c r="J5" s="323"/>
      <c r="K5" s="324"/>
      <c r="L5" s="322"/>
      <c r="M5" s="323" t="s">
        <v>341</v>
      </c>
      <c r="N5" s="321">
        <f>pole3^2</f>
        <v>1000000000000</v>
      </c>
      <c r="O5" s="322"/>
      <c r="P5" s="325" t="s">
        <v>342</v>
      </c>
      <c r="Q5" s="329">
        <f>AE9</f>
        <v>76.286382775486274</v>
      </c>
      <c r="R5" s="388" t="s">
        <v>399</v>
      </c>
    </row>
    <row r="6" spans="1:31" x14ac:dyDescent="0.2">
      <c r="B6" s="320" t="s">
        <v>343</v>
      </c>
      <c r="C6" s="321">
        <f>AEA</f>
        <v>76800</v>
      </c>
      <c r="D6" s="322" t="s">
        <v>28</v>
      </c>
      <c r="E6" s="323" t="s">
        <v>371</v>
      </c>
      <c r="F6" s="404">
        <f>mc</f>
        <v>19.181818181818183</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f>
        <v>333333.33333333337</v>
      </c>
      <c r="D7" s="398" t="s">
        <v>9</v>
      </c>
      <c r="E7" s="397" t="s">
        <v>346</v>
      </c>
      <c r="F7" s="399">
        <f>k</f>
        <v>0.89429980105527274</v>
      </c>
      <c r="G7" s="399"/>
      <c r="H7" s="419"/>
      <c r="I7" s="398"/>
      <c r="J7" s="397"/>
      <c r="K7" s="397"/>
      <c r="L7" s="398"/>
      <c r="M7" s="397"/>
      <c r="N7" s="397"/>
      <c r="O7" s="398"/>
      <c r="P7" s="397"/>
      <c r="Q7" s="397"/>
      <c r="R7" s="398"/>
      <c r="AD7" t="s">
        <v>43</v>
      </c>
      <c r="AE7">
        <f>SUM(AD12:AD613)/1000</f>
        <v>59.226999999999997</v>
      </c>
    </row>
    <row r="8" spans="1:31" x14ac:dyDescent="0.2">
      <c r="B8" s="405"/>
      <c r="C8" s="406"/>
      <c r="F8" s="407"/>
      <c r="G8" s="407"/>
      <c r="H8" s="407"/>
    </row>
    <row r="9" spans="1:31" ht="13.5" thickBot="1" x14ac:dyDescent="0.25">
      <c r="AD9" t="s">
        <v>44</v>
      </c>
      <c r="AE9" s="4">
        <f>SUM(AE13:AE613)</f>
        <v>76.286382775486274</v>
      </c>
    </row>
    <row r="10" spans="1:31" ht="15" x14ac:dyDescent="0.25">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x14ac:dyDescent="0.2">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2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1.0000030526320516</v>
      </c>
      <c r="D13" s="338">
        <f t="shared" ref="D13:D76" si="1">ATAN(A13/pole1)</f>
        <v>2.470880121039078E-3</v>
      </c>
      <c r="E13" s="338">
        <f t="shared" ref="E13:E76" si="2">SQRT(1+(A13/Zero1)^2)</f>
        <v>1.0000000000017766</v>
      </c>
      <c r="F13" s="339">
        <f t="shared" ref="F13:F76" si="3">ATAN(A13/Zero1)</f>
        <v>1.8849555899977676E-6</v>
      </c>
      <c r="G13" s="338">
        <f t="shared" ref="G13:G76" si="4">IF(VIN_nom&gt;Vout, 1, SQRT(1+(A13/z_RHP)^2))</f>
        <v>1</v>
      </c>
      <c r="H13" s="339">
        <f t="shared" ref="H13:H76" si="5">IF(VIN_nom&gt;Vout, 0, -ATAN(A13/z_RHP))</f>
        <v>0</v>
      </c>
      <c r="I13" s="337">
        <f t="shared" ref="I13:I76" si="6">SQRT(1+(A13/Pole2)^2)</f>
        <v>1.0087868051957369</v>
      </c>
      <c r="J13" s="340">
        <f t="shared" ref="J13:J76" si="7">ATAN(A13/Pole2)</f>
        <v>0.13208288310853206</v>
      </c>
      <c r="K13" s="338">
        <f t="shared" ref="K13:K76" si="8">SQRT(1+(A13/Zero2)^2)</f>
        <v>1.0000000120914989</v>
      </c>
      <c r="L13" s="339">
        <f t="shared" ref="L13:L76" si="9">ATAN(A13/Zero2)</f>
        <v>1.5550883492144343E-4</v>
      </c>
      <c r="M13" s="337">
        <f t="shared" ref="M13:M76" si="10">SQRT(1+(A13/pole4)^2)</f>
        <v>1.0000000000045</v>
      </c>
      <c r="N13" s="340">
        <f t="shared" ref="N13:N76" si="11">ATAN(A13/pole4)</f>
        <v>2.9999999999909995E-6</v>
      </c>
      <c r="O13" s="341">
        <f t="shared" ref="O13:O76" si="12">SQRT((1-(V13/pterm2))^2+(A13/pterm1)^2)</f>
        <v>0.9999999999997673</v>
      </c>
      <c r="P13" s="342">
        <f t="shared" ref="P13:P76" si="13">IF((ATAN((A13/pterm1)/(1-A13^2/pterm2))&gt;0),ATAN((A13/pterm1)/(1-A13^2/pterm2)),PI()+ATAN((A13/pterm1)/(1-A13^2/pterm2)))</f>
        <v>1.2387293568923124E-6</v>
      </c>
      <c r="Q13" s="343">
        <f t="shared" ref="Q13:Q76" si="14">20*LOG10(((E13*K13*G13)/(C13*I13*O13*M13))*Adc)</f>
        <v>101.92043912173078</v>
      </c>
      <c r="R13" s="344">
        <f t="shared" ref="R13:R76" si="15">((F13+L13+H13)-(D13+J13+P13+N13))*radconv</f>
        <v>-7.700587620840972</v>
      </c>
      <c r="S13" s="600">
        <f t="shared" ref="S13:S76" si="16">IF(R13&gt;0,R13,R13+180)</f>
        <v>172.29941237915904</v>
      </c>
      <c r="U13" s="319">
        <f>IF(Q13&lt;0,A13,1000000000)</f>
        <v>1000000000</v>
      </c>
      <c r="V13" s="319">
        <f>A13^2</f>
        <v>1</v>
      </c>
      <c r="X13" s="345">
        <f t="shared" ref="X13:X76" si="17">20*LOG10((K13/(I13*M13))*AEA)</f>
        <v>97.631236643914747</v>
      </c>
      <c r="Y13" s="346">
        <f t="shared" ref="Y13:Y76" si="18">(L13-(J13+N13))*radconv</f>
        <v>-7.5590536440967</v>
      </c>
      <c r="AA13" s="345">
        <f t="shared" ref="AA13:AA76" si="19">20*LOG10((E13*G13/(C13*O13))*Acs*Am)</f>
        <v>61.121952635911036</v>
      </c>
      <c r="AB13" s="346">
        <f t="shared" ref="AB13:AB76" si="20">(F13+H13-(D13+P13))*radconv</f>
        <v>-0.14153397674427173</v>
      </c>
      <c r="AD13">
        <f>SUM((Q14&lt;0)*(Q13&gt;0))*A13</f>
        <v>0</v>
      </c>
      <c r="AE13">
        <f t="shared" ref="AE13:AE44" si="21">IF(AD13&gt;0,S11,0)</f>
        <v>0</v>
      </c>
    </row>
    <row r="14" spans="1:31" x14ac:dyDescent="0.2">
      <c r="A14" s="347">
        <v>1.0965</v>
      </c>
      <c r="B14" s="364">
        <f t="shared" ref="B14:B77" si="22">A14/1000</f>
        <v>1.0965E-3</v>
      </c>
      <c r="C14" s="337">
        <f t="shared" si="0"/>
        <v>1.0000036702157773</v>
      </c>
      <c r="D14" s="338">
        <f t="shared" si="1"/>
        <v>2.7093189372343475E-3</v>
      </c>
      <c r="E14" s="338">
        <f t="shared" si="2"/>
        <v>1.0000000000021361</v>
      </c>
      <c r="F14" s="339">
        <f t="shared" si="3"/>
        <v>2.0668538044320569E-6</v>
      </c>
      <c r="G14" s="338">
        <f t="shared" si="4"/>
        <v>1</v>
      </c>
      <c r="H14" s="339">
        <f t="shared" si="5"/>
        <v>0</v>
      </c>
      <c r="I14" s="337">
        <f t="shared" si="6"/>
        <v>1.0105551915205451</v>
      </c>
      <c r="J14" s="340">
        <f t="shared" si="7"/>
        <v>0.14465943983721721</v>
      </c>
      <c r="K14" s="348">
        <f t="shared" si="8"/>
        <v>1.0000000145377574</v>
      </c>
      <c r="L14" s="349">
        <f t="shared" si="9"/>
        <v>1.7051543721327951E-4</v>
      </c>
      <c r="M14" s="337">
        <f t="shared" si="10"/>
        <v>1.0000000000054103</v>
      </c>
      <c r="N14" s="340">
        <f t="shared" si="11"/>
        <v>3.2894999999881348E-6</v>
      </c>
      <c r="O14" s="341">
        <f t="shared" si="12"/>
        <v>0.99999999999972022</v>
      </c>
      <c r="P14" s="342">
        <f t="shared" si="13"/>
        <v>1.3582667398325547E-6</v>
      </c>
      <c r="Q14" s="343">
        <f t="shared" si="14"/>
        <v>101.90522089016736</v>
      </c>
      <c r="R14" s="344">
        <f t="shared" si="15"/>
        <v>-8.4339859800191643</v>
      </c>
      <c r="S14" s="346">
        <f t="shared" si="16"/>
        <v>171.56601401998083</v>
      </c>
      <c r="U14" s="319">
        <f t="shared" ref="U14:U77" si="23">IF(Q14&lt;0,A14,1000000000)</f>
        <v>1000000000</v>
      </c>
      <c r="V14" s="319">
        <f t="shared" ref="V14:V77" si="24">A14^2</f>
        <v>1.2023122500000001</v>
      </c>
      <c r="X14" s="345">
        <f t="shared" si="17"/>
        <v>97.616023776593849</v>
      </c>
      <c r="Y14" s="346">
        <f t="shared" si="18"/>
        <v>-8.2787940384316538</v>
      </c>
      <c r="AA14" s="345">
        <f t="shared" si="19"/>
        <v>61.121947271668517</v>
      </c>
      <c r="AB14" s="346">
        <f t="shared" si="20"/>
        <v>-0.15519194158751121</v>
      </c>
      <c r="AD14">
        <f t="shared" ref="AD14:AD77" si="25">SUM((Q15&lt;0)*(Q14&gt;0))*A14</f>
        <v>0</v>
      </c>
      <c r="AE14">
        <f t="shared" si="21"/>
        <v>0</v>
      </c>
    </row>
    <row r="15" spans="1:31" x14ac:dyDescent="0.2">
      <c r="A15" s="347">
        <v>1.2022999999999999</v>
      </c>
      <c r="B15" s="364">
        <f t="shared" si="22"/>
        <v>1.2022999999999999E-3</v>
      </c>
      <c r="C15" s="337">
        <f t="shared" si="0"/>
        <v>1.0000044126538312</v>
      </c>
      <c r="D15" s="338">
        <f t="shared" si="1"/>
        <v>2.9707364760205635E-3</v>
      </c>
      <c r="E15" s="338">
        <f t="shared" si="2"/>
        <v>1.0000000000025682</v>
      </c>
      <c r="F15" s="339">
        <f t="shared" si="3"/>
        <v>2.2662821058531202E-6</v>
      </c>
      <c r="G15" s="338">
        <f t="shared" si="4"/>
        <v>1</v>
      </c>
      <c r="H15" s="339">
        <f t="shared" si="5"/>
        <v>0</v>
      </c>
      <c r="I15" s="337">
        <f t="shared" si="6"/>
        <v>1.012676998995909</v>
      </c>
      <c r="J15" s="340">
        <f t="shared" si="7"/>
        <v>0.15839513877485895</v>
      </c>
      <c r="K15" s="348">
        <f t="shared" si="8"/>
        <v>1.0000000174785675</v>
      </c>
      <c r="L15" s="349">
        <f t="shared" si="9"/>
        <v>1.8696827155457749E-4</v>
      </c>
      <c r="M15" s="337">
        <f t="shared" si="10"/>
        <v>1.000000000006505</v>
      </c>
      <c r="N15" s="340">
        <f t="shared" si="11"/>
        <v>3.6068999999843576E-6</v>
      </c>
      <c r="O15" s="341">
        <f t="shared" si="12"/>
        <v>0.9999999999996636</v>
      </c>
      <c r="P15" s="342">
        <f t="shared" si="13"/>
        <v>1.4893243057919511E-6</v>
      </c>
      <c r="Q15" s="343">
        <f t="shared" si="14"/>
        <v>101.88699629865489</v>
      </c>
      <c r="R15" s="344">
        <f t="shared" si="15"/>
        <v>-9.2350332707438909</v>
      </c>
      <c r="S15" s="346">
        <f t="shared" si="16"/>
        <v>170.76496672925612</v>
      </c>
      <c r="U15" s="319">
        <f t="shared" si="23"/>
        <v>1000000000</v>
      </c>
      <c r="V15" s="319">
        <f t="shared" si="24"/>
        <v>1.4455252899999997</v>
      </c>
      <c r="X15" s="345">
        <f t="shared" si="17"/>
        <v>97.597805633786066</v>
      </c>
      <c r="Y15" s="346">
        <f t="shared" si="18"/>
        <v>-9.0648671248307071</v>
      </c>
      <c r="AA15" s="345">
        <f t="shared" si="19"/>
        <v>61.121940822963829</v>
      </c>
      <c r="AB15" s="346">
        <f t="shared" si="20"/>
        <v>-0.17016614591318524</v>
      </c>
      <c r="AD15">
        <f t="shared" si="25"/>
        <v>0</v>
      </c>
      <c r="AE15">
        <f t="shared" si="21"/>
        <v>0</v>
      </c>
    </row>
    <row r="16" spans="1:31" x14ac:dyDescent="0.2">
      <c r="A16" s="347">
        <v>1.3183</v>
      </c>
      <c r="B16" s="364">
        <f t="shared" si="22"/>
        <v>1.3183000000000001E-3</v>
      </c>
      <c r="C16" s="337">
        <f t="shared" si="0"/>
        <v>1.0000053052087212</v>
      </c>
      <c r="D16" s="338">
        <f t="shared" si="1"/>
        <v>3.2573563719471561E-3</v>
      </c>
      <c r="E16" s="338">
        <f t="shared" si="2"/>
        <v>1.0000000000030873</v>
      </c>
      <c r="F16" s="339">
        <f t="shared" si="3"/>
        <v>2.4849369542918851E-6</v>
      </c>
      <c r="G16" s="338">
        <f t="shared" si="4"/>
        <v>1</v>
      </c>
      <c r="H16" s="339">
        <f t="shared" si="5"/>
        <v>0</v>
      </c>
      <c r="I16" s="337">
        <f t="shared" si="6"/>
        <v>1.0152219560315838</v>
      </c>
      <c r="J16" s="340">
        <f t="shared" si="7"/>
        <v>0.17338593602813929</v>
      </c>
      <c r="K16" s="348">
        <f t="shared" si="8"/>
        <v>1.0000000210139961</v>
      </c>
      <c r="L16" s="349">
        <f t="shared" si="9"/>
        <v>2.0500729585748757E-4</v>
      </c>
      <c r="M16" s="337">
        <f t="shared" si="10"/>
        <v>1.0000000000078206</v>
      </c>
      <c r="N16" s="340">
        <f t="shared" si="11"/>
        <v>3.9548999999793799E-6</v>
      </c>
      <c r="O16" s="341">
        <f t="shared" si="12"/>
        <v>0.99999999999959543</v>
      </c>
      <c r="P16" s="342">
        <f t="shared" si="13"/>
        <v>1.6330169111917243E-6</v>
      </c>
      <c r="Q16" s="343">
        <f t="shared" si="14"/>
        <v>101.86518746335217</v>
      </c>
      <c r="R16" s="344">
        <f t="shared" si="15"/>
        <v>-10.109346880205315</v>
      </c>
      <c r="S16" s="346">
        <f t="shared" si="16"/>
        <v>169.89065311979468</v>
      </c>
      <c r="U16" s="319">
        <f t="shared" si="23"/>
        <v>1000000000</v>
      </c>
      <c r="V16" s="319">
        <f t="shared" si="24"/>
        <v>1.7379148900000001</v>
      </c>
      <c r="X16" s="345">
        <f t="shared" si="17"/>
        <v>97.576004551073851</v>
      </c>
      <c r="Y16" s="346">
        <f t="shared" si="18"/>
        <v>-9.9227629189324471</v>
      </c>
      <c r="AA16" s="345">
        <f t="shared" si="19"/>
        <v>61.121933070373316</v>
      </c>
      <c r="AB16" s="346">
        <f t="shared" si="20"/>
        <v>-0.18658396127286903</v>
      </c>
      <c r="AD16">
        <f t="shared" si="25"/>
        <v>0</v>
      </c>
      <c r="AE16">
        <f t="shared" si="21"/>
        <v>0</v>
      </c>
    </row>
    <row r="17" spans="1:31" x14ac:dyDescent="0.2">
      <c r="A17" s="347">
        <v>1.4454</v>
      </c>
      <c r="B17" s="364">
        <f t="shared" si="22"/>
        <v>1.4454000000000001E-3</v>
      </c>
      <c r="C17" s="337">
        <f t="shared" si="0"/>
        <v>1.0000063774907688</v>
      </c>
      <c r="D17" s="338">
        <f t="shared" si="1"/>
        <v>3.5714022106966342E-3</v>
      </c>
      <c r="E17" s="338">
        <f t="shared" si="2"/>
        <v>1.0000000000037115</v>
      </c>
      <c r="F17" s="339">
        <f t="shared" si="3"/>
        <v>2.7245148097792586E-6</v>
      </c>
      <c r="G17" s="338">
        <f t="shared" si="4"/>
        <v>1</v>
      </c>
      <c r="H17" s="339">
        <f t="shared" si="5"/>
        <v>0</v>
      </c>
      <c r="I17" s="337">
        <f t="shared" si="6"/>
        <v>1.0182709644924026</v>
      </c>
      <c r="J17" s="340">
        <f t="shared" si="7"/>
        <v>0.18972107846671049</v>
      </c>
      <c r="K17" s="348">
        <f t="shared" si="8"/>
        <v>1.0000000252613317</v>
      </c>
      <c r="L17" s="349">
        <f t="shared" si="9"/>
        <v>2.2477246802197714E-4</v>
      </c>
      <c r="M17" s="337">
        <f t="shared" si="10"/>
        <v>1.0000000000094014</v>
      </c>
      <c r="N17" s="340">
        <f t="shared" si="11"/>
        <v>4.3361999999728222E-6</v>
      </c>
      <c r="O17" s="341">
        <f t="shared" si="12"/>
        <v>0.99999999999951372</v>
      </c>
      <c r="P17" s="342">
        <f t="shared" si="13"/>
        <v>1.790459412453101E-6</v>
      </c>
      <c r="Q17" s="343">
        <f t="shared" si="14"/>
        <v>101.83913101367048</v>
      </c>
      <c r="R17" s="344">
        <f t="shared" si="15"/>
        <v>-11.062159781828431</v>
      </c>
      <c r="S17" s="346">
        <f t="shared" si="16"/>
        <v>168.93784021817157</v>
      </c>
      <c r="U17" s="319">
        <f t="shared" si="23"/>
        <v>1000000000</v>
      </c>
      <c r="V17" s="319">
        <f t="shared" si="24"/>
        <v>2.0891811599999999</v>
      </c>
      <c r="X17" s="345">
        <f t="shared" si="17"/>
        <v>97.549957415055161</v>
      </c>
      <c r="Y17" s="346">
        <f t="shared" si="18"/>
        <v>-10.857587025410162</v>
      </c>
      <c r="AA17" s="345">
        <f t="shared" si="19"/>
        <v>61.121923756710331</v>
      </c>
      <c r="AB17" s="346">
        <f t="shared" si="20"/>
        <v>-0.20457275641826936</v>
      </c>
      <c r="AD17">
        <f t="shared" si="25"/>
        <v>0</v>
      </c>
      <c r="AE17">
        <f t="shared" si="21"/>
        <v>0</v>
      </c>
    </row>
    <row r="18" spans="1:31" x14ac:dyDescent="0.2">
      <c r="A18" s="347">
        <v>1.5849</v>
      </c>
      <c r="B18" s="364">
        <f t="shared" si="22"/>
        <v>1.5849E-3</v>
      </c>
      <c r="C18" s="337">
        <f t="shared" si="0"/>
        <v>1.0000076679132075</v>
      </c>
      <c r="D18" s="338">
        <f t="shared" si="1"/>
        <v>3.916085854638829E-3</v>
      </c>
      <c r="E18" s="338">
        <f t="shared" si="2"/>
        <v>1.0000000000044624</v>
      </c>
      <c r="F18" s="339">
        <f t="shared" si="3"/>
        <v>2.9874661145821123E-6</v>
      </c>
      <c r="G18" s="338">
        <f t="shared" si="4"/>
        <v>1</v>
      </c>
      <c r="H18" s="339">
        <f t="shared" si="5"/>
        <v>0</v>
      </c>
      <c r="I18" s="337">
        <f t="shared" si="6"/>
        <v>1.0219281931544013</v>
      </c>
      <c r="J18" s="340">
        <f t="shared" si="7"/>
        <v>0.2075323880490634</v>
      </c>
      <c r="K18" s="348">
        <f t="shared" si="8"/>
        <v>1.0000000303727328</v>
      </c>
      <c r="L18" s="349">
        <f t="shared" si="9"/>
        <v>2.4646594946319455E-4</v>
      </c>
      <c r="M18" s="337">
        <f t="shared" si="10"/>
        <v>1.0000000000113036</v>
      </c>
      <c r="N18" s="340">
        <f t="shared" si="11"/>
        <v>4.7546999999641692E-6</v>
      </c>
      <c r="O18" s="341">
        <f t="shared" si="12"/>
        <v>0.99999999999941536</v>
      </c>
      <c r="P18" s="342">
        <f t="shared" si="13"/>
        <v>1.9632621577400757E-6</v>
      </c>
      <c r="Q18" s="343">
        <f t="shared" si="14"/>
        <v>101.80797944021974</v>
      </c>
      <c r="R18" s="344">
        <f t="shared" si="15"/>
        <v>-12.101197435972733</v>
      </c>
      <c r="S18" s="346">
        <f t="shared" si="16"/>
        <v>167.89880256402728</v>
      </c>
      <c r="U18" s="319">
        <f t="shared" si="23"/>
        <v>1000000000</v>
      </c>
      <c r="V18" s="319">
        <f t="shared" si="24"/>
        <v>2.51190801</v>
      </c>
      <c r="X18" s="345">
        <f t="shared" si="17"/>
        <v>97.518817049985216</v>
      </c>
      <c r="Y18" s="346">
        <f t="shared" si="18"/>
        <v>-11.876880926598815</v>
      </c>
      <c r="AA18" s="345">
        <f t="shared" si="19"/>
        <v>61.121912548329533</v>
      </c>
      <c r="AB18" s="346">
        <f t="shared" si="20"/>
        <v>-0.2243165093739182</v>
      </c>
      <c r="AD18">
        <f t="shared" si="25"/>
        <v>0</v>
      </c>
      <c r="AE18">
        <f t="shared" si="21"/>
        <v>0</v>
      </c>
    </row>
    <row r="19" spans="1:31" x14ac:dyDescent="0.2">
      <c r="A19" s="347">
        <v>1.7378</v>
      </c>
      <c r="B19" s="364">
        <f t="shared" si="22"/>
        <v>1.7378000000000001E-3</v>
      </c>
      <c r="C19" s="337">
        <f t="shared" si="0"/>
        <v>1.0000092187642016</v>
      </c>
      <c r="D19" s="338">
        <f t="shared" si="1"/>
        <v>4.2938778233061227E-3</v>
      </c>
      <c r="E19" s="338">
        <f t="shared" si="2"/>
        <v>1.000000000005365</v>
      </c>
      <c r="F19" s="339">
        <f t="shared" si="3"/>
        <v>3.2756758242902839E-6</v>
      </c>
      <c r="G19" s="338">
        <f t="shared" si="4"/>
        <v>1</v>
      </c>
      <c r="H19" s="339">
        <f t="shared" si="5"/>
        <v>0</v>
      </c>
      <c r="I19" s="337">
        <f t="shared" si="6"/>
        <v>1.0263062741511129</v>
      </c>
      <c r="J19" s="340">
        <f t="shared" si="7"/>
        <v>0.22690194558596249</v>
      </c>
      <c r="K19" s="348">
        <f t="shared" si="8"/>
        <v>1.0000000365157078</v>
      </c>
      <c r="L19" s="349">
        <f t="shared" si="9"/>
        <v>2.7024324892616606E-4</v>
      </c>
      <c r="M19" s="337">
        <f t="shared" si="10"/>
        <v>1.0000000000135898</v>
      </c>
      <c r="N19" s="340">
        <f t="shared" si="11"/>
        <v>5.2133999999527668E-6</v>
      </c>
      <c r="O19" s="341">
        <f t="shared" si="12"/>
        <v>0.99999999999929701</v>
      </c>
      <c r="P19" s="342">
        <f t="shared" si="13"/>
        <v>2.1526638764095849E-6</v>
      </c>
      <c r="Q19" s="343">
        <f t="shared" si="14"/>
        <v>101.7708339595352</v>
      </c>
      <c r="R19" s="344">
        <f t="shared" si="15"/>
        <v>-13.231295501888512</v>
      </c>
      <c r="S19" s="346">
        <f t="shared" si="16"/>
        <v>166.76870449811148</v>
      </c>
      <c r="U19" s="319">
        <f t="shared" si="23"/>
        <v>1000000000</v>
      </c>
      <c r="V19" s="319">
        <f t="shared" si="24"/>
        <v>3.0199488400000001</v>
      </c>
      <c r="X19" s="345">
        <f t="shared" si="17"/>
        <v>97.481685039698661</v>
      </c>
      <c r="Y19" s="346">
        <f t="shared" si="18"/>
        <v>-12.985338768432161</v>
      </c>
      <c r="AA19" s="345">
        <f t="shared" si="19"/>
        <v>61.121899077931559</v>
      </c>
      <c r="AB19" s="346">
        <f t="shared" si="20"/>
        <v>-0.24595673345635166</v>
      </c>
      <c r="AD19">
        <f t="shared" si="25"/>
        <v>0</v>
      </c>
      <c r="AE19">
        <f t="shared" si="21"/>
        <v>0</v>
      </c>
    </row>
    <row r="20" spans="1:31" x14ac:dyDescent="0.2">
      <c r="A20" s="347">
        <v>1.9055</v>
      </c>
      <c r="B20" s="364">
        <f t="shared" si="22"/>
        <v>1.9055000000000001E-3</v>
      </c>
      <c r="C20" s="337">
        <f t="shared" si="0"/>
        <v>1.0000110838495504</v>
      </c>
      <c r="D20" s="338">
        <f t="shared" si="1"/>
        <v>4.7082368621202937E-3</v>
      </c>
      <c r="E20" s="338">
        <f t="shared" si="2"/>
        <v>1.0000000000064504</v>
      </c>
      <c r="F20" s="339">
        <f t="shared" si="3"/>
        <v>3.5917828767295543E-6</v>
      </c>
      <c r="G20" s="338">
        <f t="shared" si="4"/>
        <v>1</v>
      </c>
      <c r="H20" s="339">
        <f t="shared" si="5"/>
        <v>0</v>
      </c>
      <c r="I20" s="337">
        <f t="shared" si="6"/>
        <v>1.0315468434526598</v>
      </c>
      <c r="J20" s="340">
        <f t="shared" si="7"/>
        <v>0.24794852923325914</v>
      </c>
      <c r="K20" s="348">
        <f t="shared" si="8"/>
        <v>1.0000000439033887</v>
      </c>
      <c r="L20" s="349">
        <f t="shared" si="9"/>
        <v>2.9632207865843362E-4</v>
      </c>
      <c r="M20" s="337">
        <f t="shared" si="10"/>
        <v>1.0000000000163392</v>
      </c>
      <c r="N20" s="340">
        <f t="shared" si="11"/>
        <v>5.7164999999377306E-6</v>
      </c>
      <c r="O20" s="341">
        <f t="shared" si="12"/>
        <v>0.99999999999915468</v>
      </c>
      <c r="P20" s="342">
        <f t="shared" si="13"/>
        <v>2.3603987895613347E-6</v>
      </c>
      <c r="Q20" s="343">
        <f t="shared" si="14"/>
        <v>101.72657841285989</v>
      </c>
      <c r="R20" s="344">
        <f t="shared" si="15"/>
        <v>-14.459445352940349</v>
      </c>
      <c r="S20" s="346">
        <f t="shared" si="16"/>
        <v>165.54055464705965</v>
      </c>
      <c r="U20" s="319">
        <f t="shared" si="23"/>
        <v>1000000000</v>
      </c>
      <c r="V20" s="319">
        <f t="shared" si="24"/>
        <v>3.63093025</v>
      </c>
      <c r="X20" s="345">
        <f t="shared" si="17"/>
        <v>97.437445692773736</v>
      </c>
      <c r="Y20" s="346">
        <f t="shared" si="18"/>
        <v>-14.189753804595931</v>
      </c>
      <c r="AA20" s="345">
        <f t="shared" si="19"/>
        <v>61.121882878181168</v>
      </c>
      <c r="AB20" s="346">
        <f t="shared" si="20"/>
        <v>-0.2696915483444241</v>
      </c>
      <c r="AD20">
        <f t="shared" si="25"/>
        <v>0</v>
      </c>
      <c r="AE20">
        <f t="shared" si="21"/>
        <v>0</v>
      </c>
    </row>
    <row r="21" spans="1:31" x14ac:dyDescent="0.2">
      <c r="A21" s="347">
        <v>2.0893000000000002</v>
      </c>
      <c r="B21" s="364">
        <f t="shared" si="22"/>
        <v>2.0893000000000001E-3</v>
      </c>
      <c r="C21" s="337">
        <f t="shared" si="0"/>
        <v>1.0000133252031176</v>
      </c>
      <c r="D21" s="338">
        <f t="shared" si="1"/>
        <v>5.1623744830723642E-3</v>
      </c>
      <c r="E21" s="338">
        <f t="shared" si="2"/>
        <v>1.0000000000077549</v>
      </c>
      <c r="F21" s="339">
        <f t="shared" si="3"/>
        <v>3.9382377141666402E-6</v>
      </c>
      <c r="G21" s="338">
        <f t="shared" si="4"/>
        <v>1</v>
      </c>
      <c r="H21" s="339">
        <f t="shared" si="5"/>
        <v>0</v>
      </c>
      <c r="I21" s="337">
        <f t="shared" si="6"/>
        <v>1.0378096655612679</v>
      </c>
      <c r="J21" s="340">
        <f t="shared" si="7"/>
        <v>0.27076029643198685</v>
      </c>
      <c r="K21" s="348">
        <f t="shared" si="8"/>
        <v>1.0000000527815018</v>
      </c>
      <c r="L21" s="349">
        <f t="shared" si="9"/>
        <v>3.249045999877924E-4</v>
      </c>
      <c r="M21" s="337">
        <f t="shared" si="10"/>
        <v>1.0000000000196434</v>
      </c>
      <c r="N21" s="340">
        <f t="shared" si="11"/>
        <v>6.267899999917918E-6</v>
      </c>
      <c r="O21" s="341">
        <f t="shared" si="12"/>
        <v>0.99999999999898392</v>
      </c>
      <c r="P21" s="342">
        <f t="shared" si="13"/>
        <v>2.5880772453593628E-6</v>
      </c>
      <c r="Q21" s="343">
        <f t="shared" si="14"/>
        <v>101.67398388817435</v>
      </c>
      <c r="R21" s="344">
        <f t="shared" si="15"/>
        <v>-15.790870636849895</v>
      </c>
      <c r="S21" s="346">
        <f t="shared" si="16"/>
        <v>164.20912936315011</v>
      </c>
      <c r="U21" s="319">
        <f t="shared" si="23"/>
        <v>1000000000</v>
      </c>
      <c r="V21" s="319">
        <f t="shared" si="24"/>
        <v>4.3651744900000002</v>
      </c>
      <c r="X21" s="345">
        <f t="shared" si="17"/>
        <v>97.384870635987511</v>
      </c>
      <c r="Y21" s="346">
        <f t="shared" si="18"/>
        <v>-15.495165724862455</v>
      </c>
      <c r="AA21" s="345">
        <f t="shared" si="19"/>
        <v>61.121863410281847</v>
      </c>
      <c r="AB21" s="346">
        <f t="shared" si="20"/>
        <v>-0.29570491198744053</v>
      </c>
      <c r="AD21">
        <f t="shared" si="25"/>
        <v>0</v>
      </c>
      <c r="AE21">
        <f t="shared" si="21"/>
        <v>0</v>
      </c>
    </row>
    <row r="22" spans="1:31" x14ac:dyDescent="0.2">
      <c r="A22" s="347">
        <v>2.2909000000000002</v>
      </c>
      <c r="B22" s="364">
        <f t="shared" si="22"/>
        <v>2.2909000000000002E-3</v>
      </c>
      <c r="C22" s="337">
        <f t="shared" si="0"/>
        <v>1.0000160207892845</v>
      </c>
      <c r="D22" s="338">
        <f t="shared" si="1"/>
        <v>5.6604903320000366E-3</v>
      </c>
      <c r="E22" s="338">
        <f t="shared" si="2"/>
        <v>1.0000000000093237</v>
      </c>
      <c r="F22" s="339">
        <f t="shared" si="3"/>
        <v>4.3182447611041593E-6</v>
      </c>
      <c r="G22" s="338">
        <f t="shared" si="4"/>
        <v>1</v>
      </c>
      <c r="H22" s="339">
        <f t="shared" si="5"/>
        <v>0</v>
      </c>
      <c r="I22" s="337">
        <f t="shared" si="6"/>
        <v>1.0452920297273498</v>
      </c>
      <c r="J22" s="340">
        <f t="shared" si="7"/>
        <v>0.2954526071588649</v>
      </c>
      <c r="K22" s="348">
        <f t="shared" si="8"/>
        <v>1.000000063458879</v>
      </c>
      <c r="L22" s="349">
        <f t="shared" si="9"/>
        <v>3.5625517772160478E-4</v>
      </c>
      <c r="M22" s="337">
        <f t="shared" si="10"/>
        <v>1.0000000000236171</v>
      </c>
      <c r="N22" s="340">
        <f t="shared" si="11"/>
        <v>6.872699999891791E-6</v>
      </c>
      <c r="O22" s="341">
        <f t="shared" si="12"/>
        <v>0.99999999999877831</v>
      </c>
      <c r="P22" s="342">
        <f t="shared" si="13"/>
        <v>2.8378050837104879E-6</v>
      </c>
      <c r="Q22" s="343">
        <f t="shared" si="14"/>
        <v>101.61156201168563</v>
      </c>
      <c r="R22" s="344">
        <f t="shared" si="15"/>
        <v>-17.23240669767414</v>
      </c>
      <c r="S22" s="346">
        <f t="shared" si="16"/>
        <v>162.76759330232585</v>
      </c>
      <c r="U22" s="319">
        <f t="shared" si="23"/>
        <v>1000000000</v>
      </c>
      <c r="V22" s="319">
        <f t="shared" si="24"/>
        <v>5.2482228100000006</v>
      </c>
      <c r="X22" s="345">
        <f t="shared" si="17"/>
        <v>97.322472172703783</v>
      </c>
      <c r="Y22" s="346">
        <f t="shared" si="18"/>
        <v>-16.908169314250774</v>
      </c>
      <c r="AA22" s="345">
        <f t="shared" si="19"/>
        <v>61.121839997076847</v>
      </c>
      <c r="AB22" s="346">
        <f t="shared" si="20"/>
        <v>-0.32423738342336506</v>
      </c>
      <c r="AD22">
        <f t="shared" si="25"/>
        <v>0</v>
      </c>
      <c r="AE22">
        <f t="shared" si="21"/>
        <v>0</v>
      </c>
    </row>
    <row r="23" spans="1:31" x14ac:dyDescent="0.2">
      <c r="A23" s="347">
        <v>2.5118999999999998</v>
      </c>
      <c r="B23" s="364">
        <f t="shared" si="22"/>
        <v>2.5118999999999996E-3</v>
      </c>
      <c r="C23" s="337">
        <f t="shared" si="0"/>
        <v>1.0000192608581215</v>
      </c>
      <c r="D23" s="338">
        <f t="shared" si="1"/>
        <v>6.2065367115910017E-3</v>
      </c>
      <c r="E23" s="338">
        <f t="shared" si="2"/>
        <v>1.0000000000112093</v>
      </c>
      <c r="F23" s="339">
        <f t="shared" si="3"/>
        <v>4.7348199464856177E-6</v>
      </c>
      <c r="G23" s="338">
        <f t="shared" si="4"/>
        <v>1</v>
      </c>
      <c r="H23" s="339">
        <f t="shared" si="5"/>
        <v>0</v>
      </c>
      <c r="I23" s="337">
        <f t="shared" si="6"/>
        <v>1.0542155082476363</v>
      </c>
      <c r="J23" s="340">
        <f t="shared" si="7"/>
        <v>0.32210026580420675</v>
      </c>
      <c r="K23" s="348">
        <f t="shared" si="8"/>
        <v>1.0000000762930228</v>
      </c>
      <c r="L23" s="349">
        <f t="shared" si="9"/>
        <v>3.9062262572012873E-4</v>
      </c>
      <c r="M23" s="337">
        <f t="shared" si="10"/>
        <v>1.0000000000283933</v>
      </c>
      <c r="N23" s="340">
        <f t="shared" si="11"/>
        <v>7.535699999857356E-6</v>
      </c>
      <c r="O23" s="341">
        <f t="shared" si="12"/>
        <v>0.99999999999853129</v>
      </c>
      <c r="P23" s="342">
        <f t="shared" si="13"/>
        <v>3.1115642715858699E-6</v>
      </c>
      <c r="Q23" s="343">
        <f t="shared" si="14"/>
        <v>101.53769874564118</v>
      </c>
      <c r="R23" s="344">
        <f t="shared" si="15"/>
        <v>-18.788551921329603</v>
      </c>
      <c r="S23" s="346">
        <f t="shared" si="16"/>
        <v>161.2114480786704</v>
      </c>
      <c r="U23" s="319">
        <f t="shared" si="23"/>
        <v>1000000000</v>
      </c>
      <c r="V23" s="319">
        <f t="shared" si="24"/>
        <v>6.309641609999999</v>
      </c>
      <c r="X23" s="345">
        <f t="shared" si="17"/>
        <v>97.24863704902468</v>
      </c>
      <c r="Y23" s="346">
        <f t="shared" si="18"/>
        <v>-18.433036567655439</v>
      </c>
      <c r="AA23" s="345">
        <f t="shared" si="19"/>
        <v>61.121811854711495</v>
      </c>
      <c r="AB23" s="346">
        <f t="shared" si="20"/>
        <v>-0.35551535367416215</v>
      </c>
      <c r="AD23">
        <f t="shared" si="25"/>
        <v>0</v>
      </c>
      <c r="AE23">
        <f t="shared" si="21"/>
        <v>0</v>
      </c>
    </row>
    <row r="24" spans="1:31" x14ac:dyDescent="0.2">
      <c r="A24" s="347">
        <v>2.7542</v>
      </c>
      <c r="B24" s="364">
        <f t="shared" si="22"/>
        <v>2.7542000000000001E-3</v>
      </c>
      <c r="C24" s="337">
        <f t="shared" si="0"/>
        <v>1.0000231558667865</v>
      </c>
      <c r="D24" s="338">
        <f t="shared" si="1"/>
        <v>6.805206825184297E-3</v>
      </c>
      <c r="E24" s="338">
        <f t="shared" si="2"/>
        <v>1.0000000000134761</v>
      </c>
      <c r="F24" s="339">
        <f t="shared" si="3"/>
        <v>5.1915446859313589E-6</v>
      </c>
      <c r="G24" s="338">
        <f t="shared" si="4"/>
        <v>1</v>
      </c>
      <c r="H24" s="339">
        <f t="shared" si="5"/>
        <v>0</v>
      </c>
      <c r="I24" s="337">
        <f t="shared" si="6"/>
        <v>1.0648438190353298</v>
      </c>
      <c r="J24" s="340">
        <f t="shared" si="7"/>
        <v>0.35078032617507421</v>
      </c>
      <c r="K24" s="348">
        <f t="shared" si="8"/>
        <v>1.0000000917214844</v>
      </c>
      <c r="L24" s="349">
        <f t="shared" si="9"/>
        <v>4.2830241040349659E-4</v>
      </c>
      <c r="M24" s="337">
        <f t="shared" si="10"/>
        <v>1.0000000000341354</v>
      </c>
      <c r="N24" s="340">
        <f t="shared" si="11"/>
        <v>8.2625999998119683E-6</v>
      </c>
      <c r="O24" s="341">
        <f t="shared" si="12"/>
        <v>0.9999999999982343</v>
      </c>
      <c r="P24" s="342">
        <f t="shared" si="13"/>
        <v>3.4117083947637828E-6</v>
      </c>
      <c r="Q24" s="343">
        <f t="shared" si="14"/>
        <v>101.45053477590261</v>
      </c>
      <c r="R24" s="344">
        <f t="shared" si="15"/>
        <v>-20.46397339376302</v>
      </c>
      <c r="S24" s="346">
        <f t="shared" si="16"/>
        <v>159.53602660623699</v>
      </c>
      <c r="U24" s="319">
        <f t="shared" si="23"/>
        <v>1000000000</v>
      </c>
      <c r="V24" s="319">
        <f t="shared" si="24"/>
        <v>7.5856176399999997</v>
      </c>
      <c r="X24" s="345">
        <f t="shared" si="17"/>
        <v>97.161506910161791</v>
      </c>
      <c r="Y24" s="346">
        <f t="shared" si="18"/>
        <v>-20.074165740628622</v>
      </c>
      <c r="AA24" s="345">
        <f t="shared" si="19"/>
        <v>61.121778023835851</v>
      </c>
      <c r="AB24" s="346">
        <f t="shared" si="20"/>
        <v>-0.38980765313439447</v>
      </c>
      <c r="AD24">
        <f t="shared" si="25"/>
        <v>0</v>
      </c>
      <c r="AE24">
        <f t="shared" si="21"/>
        <v>0</v>
      </c>
    </row>
    <row r="25" spans="1:31" x14ac:dyDescent="0.2">
      <c r="A25" s="347">
        <v>3.02</v>
      </c>
      <c r="B25" s="364">
        <f t="shared" si="22"/>
        <v>3.0200000000000001E-3</v>
      </c>
      <c r="C25" s="337">
        <f t="shared" si="0"/>
        <v>1.0000278408803018</v>
      </c>
      <c r="D25" s="338">
        <f t="shared" si="1"/>
        <v>7.4619346537235344E-3</v>
      </c>
      <c r="E25" s="338">
        <f t="shared" si="2"/>
        <v>1.0000000000162026</v>
      </c>
      <c r="F25" s="339">
        <f t="shared" si="3"/>
        <v>5.6925658817385108E-6</v>
      </c>
      <c r="G25" s="338">
        <f t="shared" si="4"/>
        <v>1</v>
      </c>
      <c r="H25" s="339">
        <f t="shared" si="5"/>
        <v>0</v>
      </c>
      <c r="I25" s="337">
        <f t="shared" si="6"/>
        <v>1.0774889899952442</v>
      </c>
      <c r="J25" s="340">
        <f t="shared" si="7"/>
        <v>0.38156306331280154</v>
      </c>
      <c r="K25" s="348">
        <f t="shared" si="8"/>
        <v>1.0000001102793019</v>
      </c>
      <c r="L25" s="349">
        <f t="shared" si="9"/>
        <v>4.6963665072103218E-4</v>
      </c>
      <c r="M25" s="337">
        <f t="shared" si="10"/>
        <v>1.0000000000410418</v>
      </c>
      <c r="N25" s="340">
        <f t="shared" si="11"/>
        <v>9.059999999752107E-6</v>
      </c>
      <c r="O25" s="341">
        <f t="shared" si="12"/>
        <v>0.99999999999787703</v>
      </c>
      <c r="P25" s="342">
        <f t="shared" si="13"/>
        <v>3.7409626578296233E-6</v>
      </c>
      <c r="Q25" s="343">
        <f t="shared" si="14"/>
        <v>101.34795570854557</v>
      </c>
      <c r="R25" s="344">
        <f t="shared" si="15"/>
        <v>-22.262989617149877</v>
      </c>
      <c r="S25" s="346">
        <f t="shared" si="16"/>
        <v>157.73701038285012</v>
      </c>
      <c r="U25" s="319">
        <f t="shared" si="23"/>
        <v>1000000000</v>
      </c>
      <c r="V25" s="319">
        <f t="shared" si="24"/>
        <v>9.1204000000000001</v>
      </c>
      <c r="X25" s="345">
        <f t="shared" si="17"/>
        <v>97.058968535250685</v>
      </c>
      <c r="Y25" s="346">
        <f t="shared" si="18"/>
        <v>-21.835564072628713</v>
      </c>
      <c r="AA25" s="345">
        <f t="shared" si="19"/>
        <v>61.12173733138988</v>
      </c>
      <c r="AB25" s="346">
        <f t="shared" si="20"/>
        <v>-0.42742554452116266</v>
      </c>
      <c r="AD25">
        <f t="shared" si="25"/>
        <v>0</v>
      </c>
      <c r="AE25">
        <f t="shared" si="21"/>
        <v>0</v>
      </c>
    </row>
    <row r="26" spans="1:31" x14ac:dyDescent="0.2">
      <c r="A26" s="347">
        <v>3.3113000000000001</v>
      </c>
      <c r="B26" s="364">
        <f t="shared" si="22"/>
        <v>3.3113000000000001E-3</v>
      </c>
      <c r="C26" s="337">
        <f t="shared" si="0"/>
        <v>1.0000334707090757</v>
      </c>
      <c r="D26" s="338">
        <f t="shared" si="1"/>
        <v>8.1816594317718136E-3</v>
      </c>
      <c r="E26" s="338">
        <f t="shared" si="2"/>
        <v>1.0000000000194791</v>
      </c>
      <c r="F26" s="339">
        <f t="shared" si="3"/>
        <v>6.2416534450859462E-6</v>
      </c>
      <c r="G26" s="338">
        <f t="shared" si="4"/>
        <v>1</v>
      </c>
      <c r="H26" s="339">
        <f t="shared" si="5"/>
        <v>0</v>
      </c>
      <c r="I26" s="337">
        <f t="shared" si="6"/>
        <v>1.0924907613132173</v>
      </c>
      <c r="J26" s="340">
        <f t="shared" si="7"/>
        <v>0.41444599740882843</v>
      </c>
      <c r="K26" s="348">
        <f t="shared" si="8"/>
        <v>1.0000001325797439</v>
      </c>
      <c r="L26" s="349">
        <f t="shared" si="9"/>
        <v>5.1493636371285705E-4</v>
      </c>
      <c r="M26" s="337">
        <f t="shared" si="10"/>
        <v>1.0000000000493412</v>
      </c>
      <c r="N26" s="340">
        <f t="shared" si="11"/>
        <v>9.9338999996732332E-6</v>
      </c>
      <c r="O26" s="341">
        <f t="shared" si="12"/>
        <v>0.99999999999744771</v>
      </c>
      <c r="P26" s="342">
        <f t="shared" si="13"/>
        <v>4.1018045194974813E-6</v>
      </c>
      <c r="Q26" s="343">
        <f t="shared" si="14"/>
        <v>101.22780836590263</v>
      </c>
      <c r="R26" s="344">
        <f t="shared" si="15"/>
        <v>-24.185723955979157</v>
      </c>
      <c r="S26" s="346">
        <f t="shared" si="16"/>
        <v>155.81427604402086</v>
      </c>
      <c r="U26" s="319">
        <f t="shared" si="23"/>
        <v>1000000000</v>
      </c>
      <c r="V26" s="319">
        <f t="shared" si="24"/>
        <v>10.964707690000001</v>
      </c>
      <c r="X26" s="345">
        <f t="shared" si="17"/>
        <v>96.938870091147948</v>
      </c>
      <c r="Y26" s="346">
        <f t="shared" si="18"/>
        <v>-23.717072004901951</v>
      </c>
      <c r="AA26" s="345">
        <f t="shared" si="19"/>
        <v>61.121688432849687</v>
      </c>
      <c r="AB26" s="346">
        <f t="shared" si="20"/>
        <v>-0.46865195107720936</v>
      </c>
      <c r="AD26">
        <f t="shared" si="25"/>
        <v>0</v>
      </c>
      <c r="AE26">
        <f t="shared" si="21"/>
        <v>0</v>
      </c>
    </row>
    <row r="27" spans="1:31" x14ac:dyDescent="0.2">
      <c r="A27" s="347">
        <v>3.6307999999999998</v>
      </c>
      <c r="B27" s="364">
        <f t="shared" si="22"/>
        <v>3.6308E-3</v>
      </c>
      <c r="C27" s="337">
        <f t="shared" si="0"/>
        <v>1.0000402412106675</v>
      </c>
      <c r="D27" s="338">
        <f t="shared" si="1"/>
        <v>8.9710491305317053E-3</v>
      </c>
      <c r="E27" s="338">
        <f t="shared" si="2"/>
        <v>1.0000000000234195</v>
      </c>
      <c r="F27" s="339">
        <f t="shared" si="3"/>
        <v>6.8438967560651465E-6</v>
      </c>
      <c r="G27" s="338">
        <f t="shared" si="4"/>
        <v>1</v>
      </c>
      <c r="H27" s="339">
        <f t="shared" si="5"/>
        <v>0</v>
      </c>
      <c r="I27" s="337">
        <f t="shared" si="6"/>
        <v>1.1102637503739932</v>
      </c>
      <c r="J27" s="340">
        <f t="shared" si="7"/>
        <v>0.44944841452270878</v>
      </c>
      <c r="K27" s="348">
        <f t="shared" si="8"/>
        <v>1.0000001593986965</v>
      </c>
      <c r="L27" s="349">
        <f t="shared" si="9"/>
        <v>5.6462142238424451E-4</v>
      </c>
      <c r="M27" s="337">
        <f t="shared" si="10"/>
        <v>1.0000000000593223</v>
      </c>
      <c r="N27" s="340">
        <f t="shared" si="11"/>
        <v>1.0892399999569224E-5</v>
      </c>
      <c r="O27" s="341">
        <f t="shared" si="12"/>
        <v>0.99999999999693145</v>
      </c>
      <c r="P27" s="342">
        <f t="shared" si="13"/>
        <v>4.497578549031374E-6</v>
      </c>
      <c r="Q27" s="343">
        <f t="shared" si="14"/>
        <v>101.08758204333945</v>
      </c>
      <c r="R27" s="344">
        <f t="shared" si="15"/>
        <v>-26.233639773850619</v>
      </c>
      <c r="S27" s="346">
        <f t="shared" si="16"/>
        <v>153.76636022614937</v>
      </c>
      <c r="U27" s="319">
        <f t="shared" si="23"/>
        <v>1000000000</v>
      </c>
      <c r="V27" s="319">
        <f t="shared" si="24"/>
        <v>13.182708639999998</v>
      </c>
      <c r="X27" s="345">
        <f t="shared" si="17"/>
        <v>96.798702574208335</v>
      </c>
      <c r="Y27" s="346">
        <f t="shared" si="18"/>
        <v>-25.719770954410127</v>
      </c>
      <c r="AA27" s="345">
        <f t="shared" si="19"/>
        <v>61.121629627226113</v>
      </c>
      <c r="AB27" s="346">
        <f t="shared" si="20"/>
        <v>-0.51386881944049645</v>
      </c>
      <c r="AD27">
        <f t="shared" si="25"/>
        <v>0</v>
      </c>
      <c r="AE27">
        <f t="shared" si="21"/>
        <v>0</v>
      </c>
    </row>
    <row r="28" spans="1:31" x14ac:dyDescent="0.2">
      <c r="A28" s="347">
        <v>3.9811000000000001</v>
      </c>
      <c r="B28" s="364">
        <f t="shared" si="22"/>
        <v>3.9811000000000004E-3</v>
      </c>
      <c r="C28" s="337">
        <f t="shared" si="0"/>
        <v>1.000048380548799</v>
      </c>
      <c r="D28" s="338">
        <f t="shared" si="1"/>
        <v>9.8365236049011567E-3</v>
      </c>
      <c r="E28" s="338">
        <f t="shared" si="2"/>
        <v>1.0000000000281566</v>
      </c>
      <c r="F28" s="339">
        <f t="shared" si="3"/>
        <v>7.5041966992081389E-6</v>
      </c>
      <c r="G28" s="338">
        <f t="shared" si="4"/>
        <v>1</v>
      </c>
      <c r="H28" s="339">
        <f t="shared" si="5"/>
        <v>0</v>
      </c>
      <c r="I28" s="337">
        <f t="shared" si="6"/>
        <v>1.131260621920787</v>
      </c>
      <c r="J28" s="340">
        <f t="shared" si="7"/>
        <v>0.48651078216824795</v>
      </c>
      <c r="K28" s="348">
        <f t="shared" si="8"/>
        <v>1.0000001916400512</v>
      </c>
      <c r="L28" s="349">
        <f t="shared" si="9"/>
        <v>6.1909614860054807E-4</v>
      </c>
      <c r="M28" s="337">
        <f t="shared" si="10"/>
        <v>1.0000000000713212</v>
      </c>
      <c r="N28" s="340">
        <f t="shared" si="11"/>
        <v>1.1943299999432127E-5</v>
      </c>
      <c r="O28" s="341">
        <f t="shared" si="12"/>
        <v>0.99999999999631073</v>
      </c>
      <c r="P28" s="342">
        <f t="shared" si="13"/>
        <v>4.9315054427597591E-6</v>
      </c>
      <c r="Q28" s="343">
        <f t="shared" si="14"/>
        <v>100.92478143907374</v>
      </c>
      <c r="R28" s="344">
        <f t="shared" si="15"/>
        <v>-28.403671125851556</v>
      </c>
      <c r="S28" s="346">
        <f t="shared" si="16"/>
        <v>151.59632887414844</v>
      </c>
      <c r="U28" s="319">
        <f t="shared" si="23"/>
        <v>1000000000</v>
      </c>
      <c r="V28" s="319">
        <f t="shared" si="24"/>
        <v>15.849157210000001</v>
      </c>
      <c r="X28" s="345">
        <f t="shared" si="17"/>
        <v>96.635972664156299</v>
      </c>
      <c r="Y28" s="346">
        <f t="shared" si="18"/>
        <v>-27.840227241917063</v>
      </c>
      <c r="AA28" s="345">
        <f t="shared" si="19"/>
        <v>61.121558933012437</v>
      </c>
      <c r="AB28" s="346">
        <f t="shared" si="20"/>
        <v>-0.56344388393449019</v>
      </c>
      <c r="AD28">
        <f t="shared" si="25"/>
        <v>0</v>
      </c>
      <c r="AE28">
        <f t="shared" si="21"/>
        <v>0</v>
      </c>
    </row>
    <row r="29" spans="1:31" x14ac:dyDescent="0.2">
      <c r="A29" s="347">
        <v>4.3651999999999997</v>
      </c>
      <c r="B29" s="364">
        <f t="shared" si="22"/>
        <v>4.3651999999999996E-3</v>
      </c>
      <c r="C29" s="337">
        <f t="shared" si="0"/>
        <v>1.0000581662124697</v>
      </c>
      <c r="D29" s="338">
        <f t="shared" si="1"/>
        <v>1.0785489621341826E-2</v>
      </c>
      <c r="E29" s="338">
        <f t="shared" si="2"/>
        <v>1.0000000000338516</v>
      </c>
      <c r="F29" s="339">
        <f t="shared" si="3"/>
        <v>8.228208141282306E-6</v>
      </c>
      <c r="G29" s="338">
        <f t="shared" si="4"/>
        <v>1</v>
      </c>
      <c r="H29" s="339">
        <f t="shared" si="5"/>
        <v>0</v>
      </c>
      <c r="I29" s="337">
        <f t="shared" si="6"/>
        <v>1.1559999274412811</v>
      </c>
      <c r="J29" s="340">
        <f t="shared" si="7"/>
        <v>0.5255423980134909</v>
      </c>
      <c r="K29" s="348">
        <f t="shared" si="8"/>
        <v>1.0000002304031379</v>
      </c>
      <c r="L29" s="349">
        <f t="shared" si="9"/>
        <v>6.7882706740185321E-4</v>
      </c>
      <c r="M29" s="337">
        <f t="shared" si="10"/>
        <v>1.0000000000857474</v>
      </c>
      <c r="N29" s="340">
        <f t="shared" si="11"/>
        <v>1.3095599999251388E-5</v>
      </c>
      <c r="O29" s="341">
        <f t="shared" si="12"/>
        <v>0.99999999999556444</v>
      </c>
      <c r="P29" s="342">
        <f t="shared" si="13"/>
        <v>5.4073013887540137E-6</v>
      </c>
      <c r="Q29" s="343">
        <f t="shared" si="14"/>
        <v>100.73679404694553</v>
      </c>
      <c r="R29" s="344">
        <f t="shared" si="15"/>
        <v>-30.691019202289631</v>
      </c>
      <c r="S29" s="346">
        <f t="shared" si="16"/>
        <v>149.30898079771038</v>
      </c>
      <c r="U29" s="319">
        <f t="shared" si="23"/>
        <v>1000000000</v>
      </c>
      <c r="V29" s="319">
        <f t="shared" si="24"/>
        <v>19.054971039999998</v>
      </c>
      <c r="X29" s="345">
        <f t="shared" si="17"/>
        <v>96.448070264639</v>
      </c>
      <c r="Y29" s="346">
        <f t="shared" si="18"/>
        <v>-30.073217792349968</v>
      </c>
      <c r="AA29" s="345">
        <f t="shared" si="19"/>
        <v>61.121473940401557</v>
      </c>
      <c r="AB29" s="346">
        <f t="shared" si="20"/>
        <v>-0.61780140993966004</v>
      </c>
      <c r="AD29">
        <f t="shared" si="25"/>
        <v>0</v>
      </c>
      <c r="AE29">
        <f t="shared" si="21"/>
        <v>0</v>
      </c>
    </row>
    <row r="30" spans="1:31" x14ac:dyDescent="0.2">
      <c r="A30" s="347">
        <v>4.7862999999999998</v>
      </c>
      <c r="B30" s="364">
        <f t="shared" si="22"/>
        <v>4.7862999999999994E-3</v>
      </c>
      <c r="C30" s="337">
        <f t="shared" si="0"/>
        <v>1.0000699293949307</v>
      </c>
      <c r="D30" s="338">
        <f t="shared" si="1"/>
        <v>1.1825846276140089E-2</v>
      </c>
      <c r="E30" s="338">
        <f t="shared" si="2"/>
        <v>1.0000000000406979</v>
      </c>
      <c r="F30" s="339">
        <f t="shared" si="3"/>
        <v>9.0219629401722162E-6</v>
      </c>
      <c r="G30" s="338">
        <f t="shared" si="4"/>
        <v>1</v>
      </c>
      <c r="H30" s="339">
        <f t="shared" si="5"/>
        <v>0</v>
      </c>
      <c r="I30" s="337">
        <f t="shared" si="6"/>
        <v>1.1850555817088859</v>
      </c>
      <c r="J30" s="340">
        <f t="shared" si="7"/>
        <v>0.56639238568617323</v>
      </c>
      <c r="K30" s="348">
        <f t="shared" si="8"/>
        <v>1.0000002770000955</v>
      </c>
      <c r="L30" s="349">
        <f t="shared" si="9"/>
        <v>7.4431180513477655E-4</v>
      </c>
      <c r="M30" s="337">
        <f t="shared" si="10"/>
        <v>1.0000000001030891</v>
      </c>
      <c r="N30" s="340">
        <f t="shared" si="11"/>
        <v>1.4358899999013168E-5</v>
      </c>
      <c r="O30" s="341">
        <f t="shared" si="12"/>
        <v>0.99999999999466738</v>
      </c>
      <c r="P30" s="342">
        <f t="shared" si="13"/>
        <v>5.9289303209571303E-6</v>
      </c>
      <c r="Q30" s="343">
        <f t="shared" si="14"/>
        <v>100.52107401716684</v>
      </c>
      <c r="R30" s="344">
        <f t="shared" si="15"/>
        <v>-33.087463928342359</v>
      </c>
      <c r="S30" s="346">
        <f t="shared" si="16"/>
        <v>146.91253607165766</v>
      </c>
      <c r="U30" s="319">
        <f t="shared" si="23"/>
        <v>1000000000</v>
      </c>
      <c r="V30" s="319">
        <f t="shared" si="24"/>
        <v>22.908667689999998</v>
      </c>
      <c r="X30" s="345">
        <f t="shared" si="17"/>
        <v>96.232452401954106</v>
      </c>
      <c r="Y30" s="346">
        <f t="shared" si="18"/>
        <v>-32.410070064489972</v>
      </c>
      <c r="AA30" s="345">
        <f t="shared" si="19"/>
        <v>61.121371773307743</v>
      </c>
      <c r="AB30" s="346">
        <f t="shared" si="20"/>
        <v>-0.6773938638523862</v>
      </c>
      <c r="AD30">
        <f t="shared" si="25"/>
        <v>0</v>
      </c>
      <c r="AE30">
        <f t="shared" si="21"/>
        <v>0</v>
      </c>
    </row>
    <row r="31" spans="1:31" x14ac:dyDescent="0.2">
      <c r="A31" s="347">
        <v>5.2481</v>
      </c>
      <c r="B31" s="364">
        <f t="shared" si="22"/>
        <v>5.2481000000000003E-3</v>
      </c>
      <c r="C31" s="337">
        <f t="shared" si="0"/>
        <v>1.0000840738760564</v>
      </c>
      <c r="D31" s="338">
        <f t="shared" si="1"/>
        <v>1.2966725579859709E-2</v>
      </c>
      <c r="E31" s="338">
        <f t="shared" si="2"/>
        <v>1.0000000000489302</v>
      </c>
      <c r="F31" s="339">
        <f t="shared" si="3"/>
        <v>9.8924354315563082E-6</v>
      </c>
      <c r="G31" s="338">
        <f t="shared" si="4"/>
        <v>1</v>
      </c>
      <c r="H31" s="339">
        <f t="shared" si="5"/>
        <v>0</v>
      </c>
      <c r="I31" s="337">
        <f t="shared" si="6"/>
        <v>1.2190769501175009</v>
      </c>
      <c r="J31" s="340">
        <f t="shared" si="7"/>
        <v>0.60887362170217574</v>
      </c>
      <c r="K31" s="348">
        <f t="shared" si="8"/>
        <v>1.0000003330307057</v>
      </c>
      <c r="L31" s="349">
        <f t="shared" si="9"/>
        <v>8.1612574193339841E-4</v>
      </c>
      <c r="M31" s="337">
        <f t="shared" si="10"/>
        <v>1.0000000001239415</v>
      </c>
      <c r="N31" s="340">
        <f t="shared" si="11"/>
        <v>1.5744299998699084E-5</v>
      </c>
      <c r="O31" s="341">
        <f t="shared" si="12"/>
        <v>0.9999999999935888</v>
      </c>
      <c r="P31" s="342">
        <f t="shared" si="13"/>
        <v>6.5009755379908394E-6</v>
      </c>
      <c r="Q31" s="343">
        <f t="shared" si="14"/>
        <v>100.27510366243577</v>
      </c>
      <c r="R31" s="344">
        <f t="shared" si="15"/>
        <v>-35.582774675907551</v>
      </c>
      <c r="S31" s="346">
        <f t="shared" si="16"/>
        <v>144.41722532409244</v>
      </c>
      <c r="U31" s="319">
        <f t="shared" si="23"/>
        <v>1000000000</v>
      </c>
      <c r="V31" s="319">
        <f t="shared" si="24"/>
        <v>27.542553609999999</v>
      </c>
      <c r="X31" s="345">
        <f t="shared" si="17"/>
        <v>95.986604895084724</v>
      </c>
      <c r="Y31" s="346">
        <f t="shared" si="18"/>
        <v>-34.840030341566845</v>
      </c>
      <c r="AA31" s="345">
        <f t="shared" si="19"/>
        <v>61.121248925446061</v>
      </c>
      <c r="AB31" s="346">
        <f t="shared" si="20"/>
        <v>-0.7427443343407063</v>
      </c>
      <c r="AD31">
        <f t="shared" si="25"/>
        <v>0</v>
      </c>
      <c r="AE31">
        <f t="shared" si="21"/>
        <v>0</v>
      </c>
    </row>
    <row r="32" spans="1:31" x14ac:dyDescent="0.2">
      <c r="A32" s="347">
        <v>5.7544000000000004</v>
      </c>
      <c r="B32" s="364">
        <f t="shared" si="22"/>
        <v>5.7544000000000007E-3</v>
      </c>
      <c r="C32" s="337">
        <f t="shared" si="0"/>
        <v>1.0001010772154724</v>
      </c>
      <c r="D32" s="338">
        <f t="shared" si="1"/>
        <v>1.4217503463719895E-2</v>
      </c>
      <c r="E32" s="338">
        <f t="shared" si="2"/>
        <v>1.0000000000588263</v>
      </c>
      <c r="F32" s="339">
        <f t="shared" si="3"/>
        <v>1.0846788446670615E-5</v>
      </c>
      <c r="G32" s="338">
        <f t="shared" si="4"/>
        <v>1</v>
      </c>
      <c r="H32" s="339">
        <f t="shared" si="5"/>
        <v>0</v>
      </c>
      <c r="I32" s="337">
        <f t="shared" si="6"/>
        <v>1.2587587753002847</v>
      </c>
      <c r="J32" s="340">
        <f t="shared" si="7"/>
        <v>0.65272223844622923</v>
      </c>
      <c r="K32" s="348">
        <f t="shared" si="8"/>
        <v>1.0000004003871716</v>
      </c>
      <c r="L32" s="349">
        <f t="shared" si="9"/>
        <v>8.9485980802516513E-4</v>
      </c>
      <c r="M32" s="337">
        <f t="shared" si="10"/>
        <v>1.000000000149009</v>
      </c>
      <c r="N32" s="340">
        <f t="shared" si="11"/>
        <v>1.7263199998285081E-5</v>
      </c>
      <c r="O32" s="341">
        <f t="shared" si="12"/>
        <v>0.99999999999229217</v>
      </c>
      <c r="P32" s="342">
        <f t="shared" si="13"/>
        <v>7.1281442114129472E-6</v>
      </c>
      <c r="Q32" s="343">
        <f t="shared" si="14"/>
        <v>99.996728744861656</v>
      </c>
      <c r="R32" s="344">
        <f t="shared" si="15"/>
        <v>-38.162336800216174</v>
      </c>
      <c r="S32" s="346">
        <f t="shared" si="16"/>
        <v>141.83766319978383</v>
      </c>
      <c r="U32" s="319">
        <f t="shared" si="23"/>
        <v>1000000000</v>
      </c>
      <c r="V32" s="319">
        <f t="shared" si="24"/>
        <v>33.113119360000006</v>
      </c>
      <c r="X32" s="345">
        <f t="shared" si="17"/>
        <v>95.708377652871917</v>
      </c>
      <c r="Y32" s="346">
        <f t="shared" si="18"/>
        <v>-37.347946918222007</v>
      </c>
      <c r="AA32" s="345">
        <f t="shared" si="19"/>
        <v>61.12110125008477</v>
      </c>
      <c r="AB32" s="346">
        <f t="shared" si="20"/>
        <v>-0.8143898819941644</v>
      </c>
      <c r="AD32">
        <f t="shared" si="25"/>
        <v>0</v>
      </c>
      <c r="AE32">
        <f t="shared" si="21"/>
        <v>0</v>
      </c>
    </row>
    <row r="33" spans="1:31" x14ac:dyDescent="0.2">
      <c r="A33" s="347">
        <v>6.3095999999999997</v>
      </c>
      <c r="B33" s="364">
        <f t="shared" si="22"/>
        <v>6.3095999999999994E-3</v>
      </c>
      <c r="C33" s="337">
        <f t="shared" si="0"/>
        <v>1.0001215212956145</v>
      </c>
      <c r="D33" s="338">
        <f t="shared" si="1"/>
        <v>1.5589034011308804E-2</v>
      </c>
      <c r="E33" s="338">
        <f t="shared" si="2"/>
        <v>1.0000000000707254</v>
      </c>
      <c r="F33" s="339">
        <f t="shared" si="3"/>
        <v>1.1893315790103227E-5</v>
      </c>
      <c r="G33" s="338">
        <f t="shared" si="4"/>
        <v>1</v>
      </c>
      <c r="H33" s="339">
        <f t="shared" si="5"/>
        <v>0</v>
      </c>
      <c r="I33" s="337">
        <f t="shared" si="6"/>
        <v>1.3048745723179107</v>
      </c>
      <c r="J33" s="340">
        <f t="shared" si="7"/>
        <v>0.69764502443919751</v>
      </c>
      <c r="K33" s="348">
        <f t="shared" si="8"/>
        <v>1.0000004813751842</v>
      </c>
      <c r="L33" s="349">
        <f t="shared" si="9"/>
        <v>9.8119823784679691E-4</v>
      </c>
      <c r="M33" s="337">
        <f t="shared" si="10"/>
        <v>1.0000000001791496</v>
      </c>
      <c r="N33" s="340">
        <f t="shared" si="11"/>
        <v>1.892879999773927E-5</v>
      </c>
      <c r="O33" s="341">
        <f t="shared" si="12"/>
        <v>0.99999999999073297</v>
      </c>
      <c r="P33" s="342">
        <f t="shared" si="13"/>
        <v>7.8158867503959214E-6</v>
      </c>
      <c r="Q33" s="343">
        <f t="shared" si="14"/>
        <v>99.684026752080712</v>
      </c>
      <c r="R33" s="344">
        <f t="shared" si="15"/>
        <v>-40.809933803814808</v>
      </c>
      <c r="S33" s="346">
        <f t="shared" si="16"/>
        <v>139.1900661961852</v>
      </c>
      <c r="U33" s="319">
        <f t="shared" si="23"/>
        <v>1000000000</v>
      </c>
      <c r="V33" s="319">
        <f t="shared" si="24"/>
        <v>39.811052159999996</v>
      </c>
      <c r="X33" s="345">
        <f t="shared" si="17"/>
        <v>95.395853215236158</v>
      </c>
      <c r="Y33" s="346">
        <f t="shared" si="18"/>
        <v>-39.916981566735814</v>
      </c>
      <c r="AA33" s="345">
        <f t="shared" si="19"/>
        <v>61.120923694939563</v>
      </c>
      <c r="AB33" s="346">
        <f t="shared" si="20"/>
        <v>-0.89295223707899796</v>
      </c>
      <c r="AD33">
        <f t="shared" si="25"/>
        <v>0</v>
      </c>
      <c r="AE33">
        <f t="shared" si="21"/>
        <v>0</v>
      </c>
    </row>
    <row r="34" spans="1:31" x14ac:dyDescent="0.2">
      <c r="A34" s="347">
        <v>6.9183000000000003</v>
      </c>
      <c r="B34" s="364">
        <f t="shared" si="22"/>
        <v>6.9183000000000005E-3</v>
      </c>
      <c r="C34" s="337">
        <f t="shared" si="0"/>
        <v>1.0001460972967733</v>
      </c>
      <c r="D34" s="338">
        <f t="shared" si="1"/>
        <v>1.7092659943597578E-2</v>
      </c>
      <c r="E34" s="338">
        <f t="shared" si="2"/>
        <v>1.0000000000850298</v>
      </c>
      <c r="F34" s="339">
        <f t="shared" si="3"/>
        <v>1.304068825755777E-5</v>
      </c>
      <c r="G34" s="338">
        <f t="shared" si="4"/>
        <v>1</v>
      </c>
      <c r="H34" s="339">
        <f t="shared" si="5"/>
        <v>0</v>
      </c>
      <c r="I34" s="337">
        <f t="shared" si="6"/>
        <v>1.3582411088503328</v>
      </c>
      <c r="J34" s="340">
        <f t="shared" si="7"/>
        <v>0.74328978155697478</v>
      </c>
      <c r="K34" s="348">
        <f t="shared" si="8"/>
        <v>1.0000005787337394</v>
      </c>
      <c r="L34" s="349">
        <f t="shared" si="9"/>
        <v>1.0758563662199255E-3</v>
      </c>
      <c r="M34" s="337">
        <f t="shared" si="10"/>
        <v>1.0000000002153828</v>
      </c>
      <c r="N34" s="340">
        <f t="shared" si="11"/>
        <v>2.0754899997019833E-5</v>
      </c>
      <c r="O34" s="341">
        <f t="shared" si="12"/>
        <v>0.9999999999888588</v>
      </c>
      <c r="P34" s="342">
        <f t="shared" si="13"/>
        <v>8.5699013099842771E-6</v>
      </c>
      <c r="Q34" s="343">
        <f t="shared" si="14"/>
        <v>99.335652110879678</v>
      </c>
      <c r="R34" s="344">
        <f t="shared" si="15"/>
        <v>-43.505995745353012</v>
      </c>
      <c r="S34" s="346">
        <f t="shared" si="16"/>
        <v>136.494004254647</v>
      </c>
      <c r="U34" s="319">
        <f t="shared" si="23"/>
        <v>1000000000</v>
      </c>
      <c r="V34" s="319">
        <f t="shared" si="24"/>
        <v>47.862874890000008</v>
      </c>
      <c r="X34" s="345">
        <f t="shared" si="17"/>
        <v>95.047692009768724</v>
      </c>
      <c r="Y34" s="346">
        <f t="shared" si="18"/>
        <v>-42.526914626036998</v>
      </c>
      <c r="AA34" s="345">
        <f t="shared" si="19"/>
        <v>61.120710259205964</v>
      </c>
      <c r="AB34" s="346">
        <f t="shared" si="20"/>
        <v>-0.97908111931602615</v>
      </c>
      <c r="AD34">
        <f t="shared" si="25"/>
        <v>0</v>
      </c>
      <c r="AE34">
        <f t="shared" si="21"/>
        <v>0</v>
      </c>
    </row>
    <row r="35" spans="1:31" x14ac:dyDescent="0.2">
      <c r="A35" s="347">
        <v>7.5857999999999999</v>
      </c>
      <c r="B35" s="364">
        <f t="shared" si="22"/>
        <v>7.5858000000000002E-3</v>
      </c>
      <c r="C35" s="337">
        <f t="shared" si="0"/>
        <v>1.0001756466049885</v>
      </c>
      <c r="D35" s="338">
        <f t="shared" si="1"/>
        <v>1.8741445998994473E-2</v>
      </c>
      <c r="E35" s="338">
        <f t="shared" si="2"/>
        <v>1.0000000001022293</v>
      </c>
      <c r="F35" s="339">
        <f t="shared" si="3"/>
        <v>1.429889611364749E-5</v>
      </c>
      <c r="G35" s="338">
        <f t="shared" si="4"/>
        <v>1</v>
      </c>
      <c r="H35" s="339">
        <f t="shared" si="5"/>
        <v>0</v>
      </c>
      <c r="I35" s="337">
        <f t="shared" si="6"/>
        <v>1.4197552865291656</v>
      </c>
      <c r="J35" s="340">
        <f t="shared" si="7"/>
        <v>0.7892938802694176</v>
      </c>
      <c r="K35" s="348">
        <f t="shared" si="8"/>
        <v>1.0000006957973528</v>
      </c>
      <c r="L35" s="349">
        <f t="shared" si="9"/>
        <v>1.1796583822542082E-3</v>
      </c>
      <c r="M35" s="337">
        <f t="shared" si="10"/>
        <v>1.0000000002589498</v>
      </c>
      <c r="N35" s="340">
        <f t="shared" si="11"/>
        <v>2.2757399996071316E-5</v>
      </c>
      <c r="O35" s="341">
        <f t="shared" si="12"/>
        <v>0.99999999998660505</v>
      </c>
      <c r="P35" s="342">
        <f t="shared" si="13"/>
        <v>9.3967531557732682E-6</v>
      </c>
      <c r="Q35" s="343">
        <f t="shared" si="14"/>
        <v>98.950664033020246</v>
      </c>
      <c r="R35" s="344">
        <f t="shared" si="15"/>
        <v>-46.230447529782474</v>
      </c>
      <c r="S35" s="346">
        <f t="shared" si="16"/>
        <v>133.76955247021752</v>
      </c>
      <c r="U35" s="319">
        <f t="shared" si="23"/>
        <v>1000000000</v>
      </c>
      <c r="V35" s="319">
        <f t="shared" si="24"/>
        <v>57.544361639999998</v>
      </c>
      <c r="X35" s="345">
        <f t="shared" si="17"/>
        <v>94.662960552487306</v>
      </c>
      <c r="Y35" s="346">
        <f t="shared" si="18"/>
        <v>-45.156922642943123</v>
      </c>
      <c r="AA35" s="345">
        <f t="shared" si="19"/>
        <v>61.120453638627964</v>
      </c>
      <c r="AB35" s="346">
        <f t="shared" si="20"/>
        <v>-1.073524886839351</v>
      </c>
      <c r="AD35">
        <f t="shared" si="25"/>
        <v>0</v>
      </c>
      <c r="AE35">
        <f t="shared" si="21"/>
        <v>0</v>
      </c>
    </row>
    <row r="36" spans="1:31" x14ac:dyDescent="0.2">
      <c r="A36" s="347">
        <v>8.3176000000000005</v>
      </c>
      <c r="B36" s="364">
        <f t="shared" si="22"/>
        <v>8.3176000000000014E-3</v>
      </c>
      <c r="C36" s="337">
        <f t="shared" si="0"/>
        <v>1.0002111666512699</v>
      </c>
      <c r="D36" s="338">
        <f t="shared" si="1"/>
        <v>2.0548941505706502E-2</v>
      </c>
      <c r="E36" s="338">
        <f t="shared" si="2"/>
        <v>1.0000000001229048</v>
      </c>
      <c r="F36" s="339">
        <f t="shared" si="3"/>
        <v>1.5678306614099376E-5</v>
      </c>
      <c r="G36" s="338">
        <f t="shared" si="4"/>
        <v>1</v>
      </c>
      <c r="H36" s="339">
        <f t="shared" si="5"/>
        <v>0</v>
      </c>
      <c r="I36" s="337">
        <f t="shared" si="6"/>
        <v>1.4903446600837837</v>
      </c>
      <c r="J36" s="340">
        <f t="shared" si="7"/>
        <v>0.83525891119148543</v>
      </c>
      <c r="K36" s="348">
        <f t="shared" si="8"/>
        <v>1.0000008365194184</v>
      </c>
      <c r="L36" s="349">
        <f t="shared" si="9"/>
        <v>1.2934595744331665E-3</v>
      </c>
      <c r="M36" s="337">
        <f t="shared" si="10"/>
        <v>1.0000000003113212</v>
      </c>
      <c r="N36" s="340">
        <f t="shared" si="11"/>
        <v>2.4952799994821111E-5</v>
      </c>
      <c r="O36" s="341">
        <f t="shared" si="12"/>
        <v>0.9999999999838961</v>
      </c>
      <c r="P36" s="342">
        <f t="shared" si="13"/>
        <v>1.0303255299230679E-5</v>
      </c>
      <c r="Q36" s="343">
        <f t="shared" si="14"/>
        <v>98.528892364288254</v>
      </c>
      <c r="R36" s="344">
        <f t="shared" si="15"/>
        <v>-48.961190037434982</v>
      </c>
      <c r="S36" s="346">
        <f t="shared" si="16"/>
        <v>131.03880996256501</v>
      </c>
      <c r="U36" s="319">
        <f t="shared" si="23"/>
        <v>1000000000</v>
      </c>
      <c r="V36" s="319">
        <f t="shared" si="24"/>
        <v>69.182469760000004</v>
      </c>
      <c r="X36" s="345">
        <f t="shared" si="17"/>
        <v>94.241497347095276</v>
      </c>
      <c r="Y36" s="346">
        <f t="shared" si="18"/>
        <v>-47.784130382106817</v>
      </c>
      <c r="AA36" s="345">
        <f t="shared" si="19"/>
        <v>61.120145175287995</v>
      </c>
      <c r="AB36" s="346">
        <f t="shared" si="20"/>
        <v>-1.177059655328164</v>
      </c>
      <c r="AD36">
        <f t="shared" si="25"/>
        <v>0</v>
      </c>
      <c r="AE36">
        <f t="shared" si="21"/>
        <v>0</v>
      </c>
    </row>
    <row r="37" spans="1:31" x14ac:dyDescent="0.2">
      <c r="A37" s="347">
        <v>9.1201000000000008</v>
      </c>
      <c r="B37" s="364">
        <f t="shared" si="22"/>
        <v>9.1201000000000008E-3</v>
      </c>
      <c r="C37" s="337">
        <f t="shared" si="0"/>
        <v>1.0002538745687473</v>
      </c>
      <c r="D37" s="338">
        <f t="shared" si="1"/>
        <v>2.2530906334773521E-2</v>
      </c>
      <c r="E37" s="338">
        <f t="shared" si="2"/>
        <v>1.0000000001477649</v>
      </c>
      <c r="F37" s="339">
        <f t="shared" si="3"/>
        <v>1.7190983474665519E-5</v>
      </c>
      <c r="G37" s="338">
        <f t="shared" si="4"/>
        <v>1</v>
      </c>
      <c r="H37" s="339">
        <f t="shared" si="5"/>
        <v>0</v>
      </c>
      <c r="I37" s="337">
        <f t="shared" si="6"/>
        <v>1.5710278227835186</v>
      </c>
      <c r="J37" s="340">
        <f t="shared" si="7"/>
        <v>0.8808108717678339</v>
      </c>
      <c r="K37" s="348">
        <f t="shared" si="8"/>
        <v>1.0000010057247291</v>
      </c>
      <c r="L37" s="349">
        <f t="shared" si="9"/>
        <v>1.4182551858834414E-3</v>
      </c>
      <c r="M37" s="337">
        <f t="shared" si="10"/>
        <v>1.000000000374293</v>
      </c>
      <c r="N37" s="340">
        <f t="shared" si="11"/>
        <v>2.7360299993172819E-5</v>
      </c>
      <c r="O37" s="341">
        <f t="shared" si="12"/>
        <v>0.9999999999806386</v>
      </c>
      <c r="P37" s="342">
        <f t="shared" si="13"/>
        <v>1.1297335608247104E-5</v>
      </c>
      <c r="Q37" s="343">
        <f t="shared" si="14"/>
        <v>98.070579751795037</v>
      </c>
      <c r="R37" s="344">
        <f t="shared" si="15"/>
        <v>-51.677641314316517</v>
      </c>
      <c r="S37" s="346">
        <f t="shared" si="16"/>
        <v>128.32235868568347</v>
      </c>
      <c r="U37" s="319">
        <f t="shared" si="23"/>
        <v>1000000000</v>
      </c>
      <c r="V37" s="319">
        <f t="shared" si="24"/>
        <v>83.176224010000013</v>
      </c>
      <c r="X37" s="345">
        <f t="shared" si="17"/>
        <v>93.783555604380837</v>
      </c>
      <c r="Y37" s="346">
        <f t="shared" si="18"/>
        <v>-50.387053152403396</v>
      </c>
      <c r="AA37" s="345">
        <f t="shared" si="19"/>
        <v>61.11977430550921</v>
      </c>
      <c r="AB37" s="346">
        <f t="shared" si="20"/>
        <v>-1.2905881619131232</v>
      </c>
      <c r="AD37">
        <f t="shared" si="25"/>
        <v>0</v>
      </c>
      <c r="AE37">
        <f t="shared" si="21"/>
        <v>0</v>
      </c>
    </row>
    <row r="38" spans="1:31" x14ac:dyDescent="0.2">
      <c r="A38" s="347">
        <v>10</v>
      </c>
      <c r="B38" s="364">
        <f t="shared" si="22"/>
        <v>0.01</v>
      </c>
      <c r="C38" s="337">
        <f t="shared" si="0"/>
        <v>1.0003052170923636</v>
      </c>
      <c r="D38" s="338">
        <f t="shared" si="1"/>
        <v>2.4703824859704529E-2</v>
      </c>
      <c r="E38" s="338">
        <f t="shared" si="2"/>
        <v>1.000000000177653</v>
      </c>
      <c r="F38" s="339">
        <f t="shared" si="3"/>
        <v>1.8849555897767548E-5</v>
      </c>
      <c r="G38" s="338">
        <f t="shared" si="4"/>
        <v>1</v>
      </c>
      <c r="H38" s="339">
        <f t="shared" si="5"/>
        <v>0</v>
      </c>
      <c r="I38" s="337">
        <f t="shared" si="6"/>
        <v>1.6628535214209814</v>
      </c>
      <c r="J38" s="340">
        <f t="shared" si="7"/>
        <v>0.92557425632779333</v>
      </c>
      <c r="K38" s="348">
        <f t="shared" si="8"/>
        <v>1.0000012091491755</v>
      </c>
      <c r="L38" s="349">
        <f t="shared" si="9"/>
        <v>1.555087108195188E-3</v>
      </c>
      <c r="M38" s="337">
        <f t="shared" si="10"/>
        <v>1.00000000045</v>
      </c>
      <c r="N38" s="340">
        <f t="shared" si="11"/>
        <v>2.9999999990999998E-5</v>
      </c>
      <c r="O38" s="341">
        <f t="shared" si="12"/>
        <v>0.99999999997672251</v>
      </c>
      <c r="P38" s="342">
        <f t="shared" si="13"/>
        <v>1.2387293569522213E-5</v>
      </c>
      <c r="Q38" s="343">
        <f t="shared" si="14"/>
        <v>97.576733326598458</v>
      </c>
      <c r="R38" s="344">
        <f t="shared" si="15"/>
        <v>-54.359172162900798</v>
      </c>
      <c r="S38" s="346">
        <f t="shared" si="16"/>
        <v>125.64082783709921</v>
      </c>
      <c r="U38" s="319">
        <f t="shared" si="23"/>
        <v>1000000000</v>
      </c>
      <c r="V38" s="319">
        <f t="shared" si="24"/>
        <v>100</v>
      </c>
      <c r="X38" s="345">
        <f t="shared" si="17"/>
        <v>93.290155009754429</v>
      </c>
      <c r="Y38" s="346">
        <f t="shared" si="18"/>
        <v>-52.944117519349945</v>
      </c>
      <c r="AA38" s="345">
        <f t="shared" si="19"/>
        <v>61.119328474939024</v>
      </c>
      <c r="AB38" s="346">
        <f t="shared" si="20"/>
        <v>-1.4150546435508533</v>
      </c>
      <c r="AD38">
        <f t="shared" si="25"/>
        <v>0</v>
      </c>
      <c r="AE38">
        <f t="shared" si="21"/>
        <v>0</v>
      </c>
    </row>
    <row r="39" spans="1:31" x14ac:dyDescent="0.2">
      <c r="A39" s="347">
        <v>10.965</v>
      </c>
      <c r="B39" s="364">
        <f t="shared" si="22"/>
        <v>1.0964999999999999E-2</v>
      </c>
      <c r="C39" s="337">
        <f t="shared" si="0"/>
        <v>1.0003669549232861</v>
      </c>
      <c r="D39" s="338">
        <f t="shared" si="1"/>
        <v>2.708662936393267E-2</v>
      </c>
      <c r="E39" s="338">
        <f t="shared" si="2"/>
        <v>1.0000000002135943</v>
      </c>
      <c r="F39" s="339">
        <f t="shared" si="3"/>
        <v>2.0668538041406878E-5</v>
      </c>
      <c r="G39" s="338">
        <f t="shared" si="4"/>
        <v>1</v>
      </c>
      <c r="H39" s="339">
        <f t="shared" si="5"/>
        <v>0</v>
      </c>
      <c r="I39" s="337">
        <f t="shared" si="6"/>
        <v>1.7669690180964031</v>
      </c>
      <c r="J39" s="340">
        <f t="shared" si="7"/>
        <v>0.96922229314545472</v>
      </c>
      <c r="K39" s="348">
        <f t="shared" si="8"/>
        <v>1.0000014537746877</v>
      </c>
      <c r="L39" s="349">
        <f t="shared" si="9"/>
        <v>1.7051527360536977E-3</v>
      </c>
      <c r="M39" s="337">
        <f t="shared" si="10"/>
        <v>1.0000000005410405</v>
      </c>
      <c r="N39" s="340">
        <f t="shared" si="11"/>
        <v>3.2894999988134975E-5</v>
      </c>
      <c r="O39" s="341">
        <f t="shared" si="12"/>
        <v>0.99999999997201316</v>
      </c>
      <c r="P39" s="342">
        <f t="shared" si="13"/>
        <v>1.3582667399115348E-5</v>
      </c>
      <c r="Q39" s="343">
        <f t="shared" si="14"/>
        <v>97.048700578897765</v>
      </c>
      <c r="R39" s="344">
        <f t="shared" si="15"/>
        <v>-56.988077115116212</v>
      </c>
      <c r="S39" s="346">
        <f t="shared" si="16"/>
        <v>123.01192288488379</v>
      </c>
      <c r="U39" s="319">
        <f t="shared" si="23"/>
        <v>1000000000</v>
      </c>
      <c r="V39" s="319">
        <f t="shared" si="24"/>
        <v>120.23122499999999</v>
      </c>
      <c r="X39" s="345">
        <f t="shared" si="17"/>
        <v>92.762658329521827</v>
      </c>
      <c r="Y39" s="346">
        <f t="shared" si="18"/>
        <v>-55.436533560036828</v>
      </c>
      <c r="AA39" s="345">
        <f t="shared" si="19"/>
        <v>61.118792407470941</v>
      </c>
      <c r="AB39" s="346">
        <f t="shared" si="20"/>
        <v>-1.5515435550793855</v>
      </c>
      <c r="AD39">
        <f t="shared" si="25"/>
        <v>0</v>
      </c>
      <c r="AE39">
        <f t="shared" si="21"/>
        <v>0</v>
      </c>
    </row>
    <row r="40" spans="1:31" x14ac:dyDescent="0.2">
      <c r="A40" s="347">
        <v>12.023</v>
      </c>
      <c r="B40" s="364">
        <f t="shared" si="22"/>
        <v>1.2022999999999999E-2</v>
      </c>
      <c r="C40" s="337">
        <f t="shared" si="0"/>
        <v>1.0004411690416322</v>
      </c>
      <c r="D40" s="338">
        <f t="shared" si="1"/>
        <v>2.969871751098322E-2</v>
      </c>
      <c r="E40" s="338">
        <f t="shared" si="2"/>
        <v>1.0000000002568017</v>
      </c>
      <c r="F40" s="339">
        <f t="shared" si="3"/>
        <v>2.2662821054690099E-5</v>
      </c>
      <c r="G40" s="338">
        <f t="shared" si="4"/>
        <v>1</v>
      </c>
      <c r="H40" s="339">
        <f t="shared" si="5"/>
        <v>0</v>
      </c>
      <c r="I40" s="337">
        <f t="shared" si="6"/>
        <v>1.8845345392260773</v>
      </c>
      <c r="J40" s="340">
        <f t="shared" si="7"/>
        <v>1.0114467539806993</v>
      </c>
      <c r="K40" s="348">
        <f t="shared" si="8"/>
        <v>1.0000017478552417</v>
      </c>
      <c r="L40" s="349">
        <f t="shared" si="9"/>
        <v>1.8696805587115092E-3</v>
      </c>
      <c r="M40" s="337">
        <f t="shared" si="10"/>
        <v>1.0000000006504863</v>
      </c>
      <c r="N40" s="340">
        <f t="shared" si="11"/>
        <v>3.6068999984358401E-5</v>
      </c>
      <c r="O40" s="341">
        <f t="shared" si="12"/>
        <v>0.9999999999663518</v>
      </c>
      <c r="P40" s="342">
        <f t="shared" si="13"/>
        <v>1.4893243058960701E-5</v>
      </c>
      <c r="Q40" s="343">
        <f t="shared" si="14"/>
        <v>96.488555441416423</v>
      </c>
      <c r="R40" s="344">
        <f t="shared" si="15"/>
        <v>-59.547738076065571</v>
      </c>
      <c r="S40" s="346">
        <f t="shared" si="16"/>
        <v>120.45226192393443</v>
      </c>
      <c r="U40" s="319">
        <f t="shared" si="23"/>
        <v>1000000000</v>
      </c>
      <c r="V40" s="319">
        <f t="shared" si="24"/>
        <v>144.55252899999999</v>
      </c>
      <c r="X40" s="345">
        <f t="shared" si="17"/>
        <v>92.203157546898382</v>
      </c>
      <c r="Y40" s="346">
        <f t="shared" si="18"/>
        <v>-57.846572067818833</v>
      </c>
      <c r="AA40" s="345">
        <f t="shared" si="19"/>
        <v>61.118148052613051</v>
      </c>
      <c r="AB40" s="346">
        <f t="shared" si="20"/>
        <v>-1.7011660082467241</v>
      </c>
      <c r="AD40">
        <f t="shared" si="25"/>
        <v>0</v>
      </c>
      <c r="AE40">
        <f t="shared" si="21"/>
        <v>0</v>
      </c>
    </row>
    <row r="41" spans="1:31" x14ac:dyDescent="0.2">
      <c r="A41" s="347">
        <v>13.183</v>
      </c>
      <c r="B41" s="364">
        <f t="shared" si="22"/>
        <v>1.3183E-2</v>
      </c>
      <c r="C41" s="337">
        <f t="shared" si="0"/>
        <v>1.0005303816270461</v>
      </c>
      <c r="D41" s="338">
        <f t="shared" si="1"/>
        <v>3.2562165546396522E-2</v>
      </c>
      <c r="E41" s="338">
        <f t="shared" si="2"/>
        <v>1.0000000003087455</v>
      </c>
      <c r="F41" s="339">
        <f t="shared" si="3"/>
        <v>2.4849369537855247E-5</v>
      </c>
      <c r="G41" s="338">
        <f t="shared" si="4"/>
        <v>1</v>
      </c>
      <c r="H41" s="339">
        <f t="shared" si="5"/>
        <v>0</v>
      </c>
      <c r="I41" s="337">
        <f t="shared" si="6"/>
        <v>2.0168197740153886</v>
      </c>
      <c r="J41" s="340">
        <f t="shared" si="7"/>
        <v>1.0520058529169041</v>
      </c>
      <c r="K41" s="348">
        <f t="shared" si="8"/>
        <v>1.0000021013974187</v>
      </c>
      <c r="L41" s="349">
        <f t="shared" si="9"/>
        <v>2.050070115287194E-3</v>
      </c>
      <c r="M41" s="337">
        <f t="shared" si="10"/>
        <v>1.0000000007820617</v>
      </c>
      <c r="N41" s="340">
        <f t="shared" si="11"/>
        <v>3.9548999979380159E-5</v>
      </c>
      <c r="O41" s="341">
        <f t="shared" si="12"/>
        <v>0.99999999995954569</v>
      </c>
      <c r="P41" s="342">
        <f t="shared" si="13"/>
        <v>1.633016911328981E-5</v>
      </c>
      <c r="Q41" s="343">
        <f t="shared" si="14"/>
        <v>95.898524211874445</v>
      </c>
      <c r="R41" s="344">
        <f t="shared" si="15"/>
        <v>-62.025487634930094</v>
      </c>
      <c r="S41" s="346">
        <f t="shared" si="16"/>
        <v>117.9745123650699</v>
      </c>
      <c r="U41" s="319">
        <f t="shared" si="23"/>
        <v>1000000000</v>
      </c>
      <c r="V41" s="319">
        <f t="shared" si="24"/>
        <v>173.79148899999998</v>
      </c>
      <c r="X41" s="345">
        <f t="shared" si="17"/>
        <v>91.613900831277846</v>
      </c>
      <c r="Y41" s="346">
        <f t="shared" si="18"/>
        <v>-60.160301089413132</v>
      </c>
      <c r="AA41" s="345">
        <f t="shared" si="19"/>
        <v>61.117373538691609</v>
      </c>
      <c r="AB41" s="346">
        <f t="shared" si="20"/>
        <v>-1.8651865455169536</v>
      </c>
      <c r="AD41">
        <f t="shared" si="25"/>
        <v>0</v>
      </c>
      <c r="AE41">
        <f t="shared" si="21"/>
        <v>0</v>
      </c>
    </row>
    <row r="42" spans="1:31" x14ac:dyDescent="0.2">
      <c r="A42" s="347">
        <v>14.454000000000001</v>
      </c>
      <c r="B42" s="364">
        <f t="shared" si="22"/>
        <v>1.4454E-2</v>
      </c>
      <c r="C42" s="337">
        <f t="shared" si="0"/>
        <v>1.0006375478768474</v>
      </c>
      <c r="D42" s="338">
        <f t="shared" si="1"/>
        <v>3.5699001058243238E-2</v>
      </c>
      <c r="E42" s="338">
        <f t="shared" si="2"/>
        <v>1.0000000003711489</v>
      </c>
      <c r="F42" s="339">
        <f t="shared" si="3"/>
        <v>2.724514809111866E-5</v>
      </c>
      <c r="G42" s="338">
        <f t="shared" si="4"/>
        <v>1</v>
      </c>
      <c r="H42" s="339">
        <f t="shared" si="5"/>
        <v>0</v>
      </c>
      <c r="I42" s="337">
        <f t="shared" si="6"/>
        <v>2.1650809945193279</v>
      </c>
      <c r="J42" s="340">
        <f t="shared" si="7"/>
        <v>1.0906866165007902</v>
      </c>
      <c r="K42" s="348">
        <f t="shared" si="8"/>
        <v>1.0000025261300136</v>
      </c>
      <c r="L42" s="349">
        <f t="shared" si="9"/>
        <v>2.2477209327168958E-3</v>
      </c>
      <c r="M42" s="337">
        <f t="shared" si="10"/>
        <v>1.0000000009401315</v>
      </c>
      <c r="N42" s="340">
        <f t="shared" si="11"/>
        <v>4.3361999972822673E-5</v>
      </c>
      <c r="O42" s="341">
        <f t="shared" si="12"/>
        <v>0.99999999995136912</v>
      </c>
      <c r="P42" s="342">
        <f t="shared" si="13"/>
        <v>1.7904594126340078E-5</v>
      </c>
      <c r="Q42" s="343">
        <f t="shared" si="14"/>
        <v>95.281456470029752</v>
      </c>
      <c r="R42" s="344">
        <f t="shared" si="15"/>
        <v>-64.410306426270267</v>
      </c>
      <c r="S42" s="346">
        <f t="shared" si="16"/>
        <v>115.58969357372973</v>
      </c>
      <c r="U42" s="319">
        <f t="shared" si="23"/>
        <v>1000000000</v>
      </c>
      <c r="V42" s="319">
        <f t="shared" si="24"/>
        <v>208.91811600000003</v>
      </c>
      <c r="X42" s="345">
        <f t="shared" si="17"/>
        <v>90.997763379782555</v>
      </c>
      <c r="Y42" s="346">
        <f t="shared" si="18"/>
        <v>-62.365439504783758</v>
      </c>
      <c r="AA42" s="345">
        <f t="shared" si="19"/>
        <v>61.1164432483422</v>
      </c>
      <c r="AB42" s="346">
        <f t="shared" si="20"/>
        <v>-2.0448669214865021</v>
      </c>
      <c r="AD42">
        <f t="shared" si="25"/>
        <v>0</v>
      </c>
      <c r="AE42">
        <f t="shared" si="21"/>
        <v>0</v>
      </c>
    </row>
    <row r="43" spans="1:31" x14ac:dyDescent="0.2">
      <c r="A43" s="347">
        <v>15.849</v>
      </c>
      <c r="B43" s="364">
        <f t="shared" si="22"/>
        <v>1.5848999999999999E-2</v>
      </c>
      <c r="C43" s="337">
        <f t="shared" si="0"/>
        <v>1.0007665004990913</v>
      </c>
      <c r="D43" s="338">
        <f t="shared" si="1"/>
        <v>3.9141058151371463E-2</v>
      </c>
      <c r="E43" s="338">
        <f t="shared" si="2"/>
        <v>1.0000000004462477</v>
      </c>
      <c r="F43" s="339">
        <f t="shared" si="3"/>
        <v>2.9874661137022335E-5</v>
      </c>
      <c r="G43" s="338">
        <f t="shared" si="4"/>
        <v>1</v>
      </c>
      <c r="H43" s="339">
        <f t="shared" si="5"/>
        <v>0</v>
      </c>
      <c r="I43" s="337">
        <f t="shared" si="6"/>
        <v>2.3310347908990843</v>
      </c>
      <c r="J43" s="340">
        <f t="shared" si="7"/>
        <v>1.1274175010185241</v>
      </c>
      <c r="K43" s="348">
        <f t="shared" si="8"/>
        <v>1.0000030372687227</v>
      </c>
      <c r="L43" s="349">
        <f t="shared" si="9"/>
        <v>2.4646545539926215E-3</v>
      </c>
      <c r="M43" s="337">
        <f t="shared" si="10"/>
        <v>1.0000000011303585</v>
      </c>
      <c r="N43" s="340">
        <f t="shared" si="11"/>
        <v>4.7546999964169887E-5</v>
      </c>
      <c r="O43" s="341">
        <f t="shared" si="12"/>
        <v>0.99999999994152899</v>
      </c>
      <c r="P43" s="342">
        <f t="shared" si="13"/>
        <v>1.9632621579785802E-5</v>
      </c>
      <c r="Q43" s="343">
        <f t="shared" si="14"/>
        <v>94.638849471609319</v>
      </c>
      <c r="R43" s="344">
        <f t="shared" si="15"/>
        <v>-66.699805184397704</v>
      </c>
      <c r="S43" s="346">
        <f t="shared" si="16"/>
        <v>113.3001948156023</v>
      </c>
      <c r="U43" s="319">
        <f t="shared" si="23"/>
        <v>1000000000</v>
      </c>
      <c r="V43" s="319">
        <f t="shared" si="24"/>
        <v>251.19080099999999</v>
      </c>
      <c r="X43" s="345">
        <f t="shared" si="17"/>
        <v>90.35627566310788</v>
      </c>
      <c r="Y43" s="346">
        <f t="shared" si="18"/>
        <v>-64.45777456972634</v>
      </c>
      <c r="AA43" s="345">
        <f t="shared" si="19"/>
        <v>61.115323966596449</v>
      </c>
      <c r="AB43" s="346">
        <f t="shared" si="20"/>
        <v>-2.2420306146713709</v>
      </c>
      <c r="AD43">
        <f t="shared" si="25"/>
        <v>0</v>
      </c>
      <c r="AE43">
        <f t="shared" si="21"/>
        <v>0</v>
      </c>
    </row>
    <row r="44" spans="1:31" x14ac:dyDescent="0.2">
      <c r="A44" s="347">
        <v>17.378</v>
      </c>
      <c r="B44" s="364">
        <f t="shared" si="22"/>
        <v>1.7378000000000001E-2</v>
      </c>
      <c r="C44" s="337">
        <f t="shared" si="0"/>
        <v>1.000921456128735</v>
      </c>
      <c r="D44" s="338">
        <f t="shared" si="1"/>
        <v>4.2912681501510043E-2</v>
      </c>
      <c r="E44" s="338">
        <f t="shared" si="2"/>
        <v>1.0000000005365026</v>
      </c>
      <c r="F44" s="339">
        <f t="shared" si="3"/>
        <v>3.2756758231303945E-5</v>
      </c>
      <c r="G44" s="338">
        <f t="shared" si="4"/>
        <v>1</v>
      </c>
      <c r="H44" s="339">
        <f t="shared" si="5"/>
        <v>0</v>
      </c>
      <c r="I44" s="337">
        <f t="shared" si="6"/>
        <v>2.5160399114866809</v>
      </c>
      <c r="J44" s="340">
        <f t="shared" si="7"/>
        <v>1.1620601024249806</v>
      </c>
      <c r="K44" s="348">
        <f t="shared" si="8"/>
        <v>1.0000036515641904</v>
      </c>
      <c r="L44" s="349">
        <f t="shared" si="9"/>
        <v>2.7024259763286699E-3</v>
      </c>
      <c r="M44" s="337">
        <f t="shared" si="10"/>
        <v>1.0000000013589769</v>
      </c>
      <c r="N44" s="340">
        <f t="shared" si="11"/>
        <v>5.2133999952767389E-5</v>
      </c>
      <c r="O44" s="341">
        <f t="shared" si="12"/>
        <v>0.99999999992970323</v>
      </c>
      <c r="P44" s="342">
        <f t="shared" si="13"/>
        <v>2.1526638767239901E-5</v>
      </c>
      <c r="Q44" s="343">
        <f t="shared" si="14"/>
        <v>93.974134603459248</v>
      </c>
      <c r="R44" s="344">
        <f t="shared" si="15"/>
        <v>-68.887361042660032</v>
      </c>
      <c r="S44" s="346">
        <f t="shared" si="16"/>
        <v>111.11263895733997</v>
      </c>
      <c r="U44" s="319">
        <f t="shared" si="23"/>
        <v>1000000000</v>
      </c>
      <c r="V44" s="319">
        <f t="shared" si="24"/>
        <v>301.99488400000001</v>
      </c>
      <c r="X44" s="345">
        <f t="shared" si="17"/>
        <v>89.692905586595998</v>
      </c>
      <c r="Y44" s="346">
        <f t="shared" si="18"/>
        <v>-66.429288940674354</v>
      </c>
      <c r="AA44" s="345">
        <f t="shared" si="19"/>
        <v>61.113979174958274</v>
      </c>
      <c r="AB44" s="346">
        <f t="shared" si="20"/>
        <v>-2.4580721019856839</v>
      </c>
      <c r="AD44">
        <f t="shared" si="25"/>
        <v>0</v>
      </c>
      <c r="AE44">
        <f t="shared" si="21"/>
        <v>0</v>
      </c>
    </row>
    <row r="45" spans="1:31" x14ac:dyDescent="0.2">
      <c r="A45" s="347">
        <v>19.055</v>
      </c>
      <c r="B45" s="364">
        <f t="shared" si="22"/>
        <v>1.9054999999999999E-2</v>
      </c>
      <c r="C45" s="337">
        <f t="shared" si="0"/>
        <v>1.001107777512116</v>
      </c>
      <c r="D45" s="338">
        <f t="shared" si="1"/>
        <v>4.7047972015346627E-2</v>
      </c>
      <c r="E45" s="338">
        <f t="shared" si="2"/>
        <v>1.0000000006450451</v>
      </c>
      <c r="F45" s="339">
        <f t="shared" si="3"/>
        <v>3.5917828752004253E-5</v>
      </c>
      <c r="G45" s="338">
        <f t="shared" si="4"/>
        <v>1</v>
      </c>
      <c r="H45" s="339">
        <f t="shared" si="5"/>
        <v>0</v>
      </c>
      <c r="I45" s="337">
        <f t="shared" si="6"/>
        <v>2.7219274464457417</v>
      </c>
      <c r="J45" s="340">
        <f t="shared" si="7"/>
        <v>1.1945986416896857</v>
      </c>
      <c r="K45" s="348">
        <f t="shared" si="8"/>
        <v>1.0000043903293345</v>
      </c>
      <c r="L45" s="349">
        <f t="shared" si="9"/>
        <v>2.9632122003309296E-3</v>
      </c>
      <c r="M45" s="337">
        <f t="shared" si="10"/>
        <v>1.0000000016339186</v>
      </c>
      <c r="N45" s="340">
        <f t="shared" si="11"/>
        <v>5.7164999937731354E-5</v>
      </c>
      <c r="O45" s="341">
        <f t="shared" si="12"/>
        <v>0.99999999991548116</v>
      </c>
      <c r="P45" s="342">
        <f t="shared" si="13"/>
        <v>2.3603987899758282E-5</v>
      </c>
      <c r="Q45" s="343">
        <f t="shared" si="14"/>
        <v>93.289343915381622</v>
      </c>
      <c r="R45" s="344">
        <f t="shared" si="15"/>
        <v>-70.973900922349557</v>
      </c>
      <c r="S45" s="346">
        <f t="shared" si="16"/>
        <v>109.02609907765044</v>
      </c>
      <c r="U45" s="319">
        <f t="shared" si="23"/>
        <v>1000000000</v>
      </c>
      <c r="V45" s="319">
        <f t="shared" si="24"/>
        <v>363.09302500000001</v>
      </c>
      <c r="X45" s="345">
        <f t="shared" si="17"/>
        <v>89.009731624071946</v>
      </c>
      <c r="Y45" s="346">
        <f t="shared" si="18"/>
        <v>-68.278956219251597</v>
      </c>
      <c r="AA45" s="345">
        <f t="shared" si="19"/>
        <v>61.112362449404678</v>
      </c>
      <c r="AB45" s="346">
        <f t="shared" si="20"/>
        <v>-2.6949447030979616</v>
      </c>
      <c r="AD45">
        <f t="shared" si="25"/>
        <v>0</v>
      </c>
      <c r="AE45">
        <f t="shared" ref="AE45:AE76" si="26">IF(AD45&gt;0,S43,0)</f>
        <v>0</v>
      </c>
    </row>
    <row r="46" spans="1:31" x14ac:dyDescent="0.2">
      <c r="A46" s="347">
        <v>20.893000000000001</v>
      </c>
      <c r="B46" s="364">
        <f t="shared" si="22"/>
        <v>2.0893000000000002E-2</v>
      </c>
      <c r="C46" s="337">
        <f t="shared" si="0"/>
        <v>1.001331642553865</v>
      </c>
      <c r="D46" s="338">
        <f t="shared" si="1"/>
        <v>5.1578416116377208E-2</v>
      </c>
      <c r="E46" s="338">
        <f t="shared" si="2"/>
        <v>1.0000000007754857</v>
      </c>
      <c r="F46" s="339">
        <f t="shared" si="3"/>
        <v>3.938237712150969E-5</v>
      </c>
      <c r="G46" s="338">
        <f t="shared" si="4"/>
        <v>1</v>
      </c>
      <c r="H46" s="339">
        <f t="shared" si="5"/>
        <v>0</v>
      </c>
      <c r="I46" s="337">
        <f t="shared" si="6"/>
        <v>2.9504050896849878</v>
      </c>
      <c r="J46" s="340">
        <f t="shared" si="7"/>
        <v>1.225010060457433</v>
      </c>
      <c r="K46" s="348">
        <f t="shared" si="8"/>
        <v>1.0000052781363968</v>
      </c>
      <c r="L46" s="349">
        <f t="shared" si="9"/>
        <v>3.2490346816408154E-3</v>
      </c>
      <c r="M46" s="337">
        <f t="shared" si="10"/>
        <v>1.0000000019643285</v>
      </c>
      <c r="N46" s="340">
        <f t="shared" si="11"/>
        <v>6.2678999917918564E-5</v>
      </c>
      <c r="O46" s="341">
        <f t="shared" si="12"/>
        <v>0.99999999989838972</v>
      </c>
      <c r="P46" s="342">
        <f t="shared" si="13"/>
        <v>2.5880772459057412E-5</v>
      </c>
      <c r="Q46" s="343">
        <f t="shared" si="14"/>
        <v>92.587307451752196</v>
      </c>
      <c r="R46" s="344">
        <f t="shared" si="15"/>
        <v>-72.959793648529342</v>
      </c>
      <c r="S46" s="346">
        <f t="shared" si="16"/>
        <v>107.04020635147066</v>
      </c>
      <c r="U46" s="319">
        <f t="shared" si="23"/>
        <v>1000000000</v>
      </c>
      <c r="V46" s="319">
        <f t="shared" si="24"/>
        <v>436.51744900000006</v>
      </c>
      <c r="X46" s="345">
        <f t="shared" si="17"/>
        <v>88.309637257418899</v>
      </c>
      <c r="Y46" s="346">
        <f t="shared" si="18"/>
        <v>-70.005341672679236</v>
      </c>
      <c r="AA46" s="345">
        <f t="shared" si="19"/>
        <v>61.110420352428307</v>
      </c>
      <c r="AB46" s="346">
        <f t="shared" si="20"/>
        <v>-2.9544519758501009</v>
      </c>
      <c r="AD46">
        <f t="shared" si="25"/>
        <v>0</v>
      </c>
      <c r="AE46">
        <f t="shared" si="26"/>
        <v>0</v>
      </c>
    </row>
    <row r="47" spans="1:31" x14ac:dyDescent="0.2">
      <c r="A47" s="347">
        <v>22.909000000000002</v>
      </c>
      <c r="B47" s="364">
        <f t="shared" si="22"/>
        <v>2.2909000000000002E-2</v>
      </c>
      <c r="C47" s="337">
        <f t="shared" si="0"/>
        <v>1.001600810464661</v>
      </c>
      <c r="D47" s="338">
        <f t="shared" si="1"/>
        <v>5.6545165710628391E-2</v>
      </c>
      <c r="E47" s="338">
        <f t="shared" si="2"/>
        <v>1.0000000009323617</v>
      </c>
      <c r="F47" s="339">
        <f t="shared" si="3"/>
        <v>4.3182447584468892E-5</v>
      </c>
      <c r="G47" s="338">
        <f t="shared" si="4"/>
        <v>1</v>
      </c>
      <c r="H47" s="339">
        <f t="shared" si="5"/>
        <v>0</v>
      </c>
      <c r="I47" s="337">
        <f t="shared" si="6"/>
        <v>3.2036764413954626</v>
      </c>
      <c r="J47" s="340">
        <f t="shared" si="7"/>
        <v>1.2533501220867342</v>
      </c>
      <c r="K47" s="348">
        <f t="shared" si="8"/>
        <v>1.0000063458679846</v>
      </c>
      <c r="L47" s="349">
        <f t="shared" si="9"/>
        <v>3.5625368563438771E-3</v>
      </c>
      <c r="M47" s="337">
        <f t="shared" si="10"/>
        <v>1.0000000023617002</v>
      </c>
      <c r="N47" s="340">
        <f t="shared" si="11"/>
        <v>6.8726999891791617E-5</v>
      </c>
      <c r="O47" s="341">
        <f t="shared" si="12"/>
        <v>0.99999999987783461</v>
      </c>
      <c r="P47" s="342">
        <f t="shared" si="13"/>
        <v>2.8378050844307814E-5</v>
      </c>
      <c r="Q47" s="343">
        <f t="shared" si="14"/>
        <v>91.869642203345578</v>
      </c>
      <c r="R47" s="344">
        <f t="shared" si="15"/>
        <v>-74.850442891744947</v>
      </c>
      <c r="S47" s="346">
        <f t="shared" si="16"/>
        <v>105.14955710825505</v>
      </c>
      <c r="U47" s="319">
        <f t="shared" si="23"/>
        <v>1000000000</v>
      </c>
      <c r="V47" s="319">
        <f t="shared" si="24"/>
        <v>524.82228100000009</v>
      </c>
      <c r="X47" s="345">
        <f t="shared" si="17"/>
        <v>87.594306547288312</v>
      </c>
      <c r="Y47" s="346">
        <f t="shared" si="18"/>
        <v>-71.611491770408477</v>
      </c>
      <c r="AA47" s="345">
        <f t="shared" si="19"/>
        <v>61.108085814152261</v>
      </c>
      <c r="AB47" s="346">
        <f t="shared" si="20"/>
        <v>-3.2389511213364597</v>
      </c>
      <c r="AD47">
        <f t="shared" si="25"/>
        <v>0</v>
      </c>
      <c r="AE47">
        <f t="shared" si="26"/>
        <v>0</v>
      </c>
    </row>
    <row r="48" spans="1:31" x14ac:dyDescent="0.2">
      <c r="A48" s="347">
        <v>25.119</v>
      </c>
      <c r="B48" s="364">
        <f t="shared" si="22"/>
        <v>2.5118999999999999E-2</v>
      </c>
      <c r="C48" s="337">
        <f t="shared" si="0"/>
        <v>1.0019242529864179</v>
      </c>
      <c r="D48" s="338">
        <f t="shared" si="1"/>
        <v>6.1986650498326669E-2</v>
      </c>
      <c r="E48" s="338">
        <f t="shared" si="2"/>
        <v>1.000000001120926</v>
      </c>
      <c r="F48" s="339">
        <f t="shared" si="3"/>
        <v>4.7348199429827451E-5</v>
      </c>
      <c r="G48" s="338">
        <f t="shared" si="4"/>
        <v>1</v>
      </c>
      <c r="H48" s="339">
        <f t="shared" si="5"/>
        <v>0</v>
      </c>
      <c r="I48" s="337">
        <f t="shared" si="6"/>
        <v>3.4838245913051127</v>
      </c>
      <c r="J48" s="340">
        <f t="shared" si="7"/>
        <v>1.2796600630444359</v>
      </c>
      <c r="K48" s="348">
        <f t="shared" si="8"/>
        <v>1.0000076292734594</v>
      </c>
      <c r="L48" s="349">
        <f t="shared" si="9"/>
        <v>3.9062065882060448E-3</v>
      </c>
      <c r="M48" s="337">
        <f t="shared" si="10"/>
        <v>1.0000000028393388</v>
      </c>
      <c r="N48" s="340">
        <f t="shared" si="11"/>
        <v>7.5356999857357297E-5</v>
      </c>
      <c r="O48" s="341">
        <f t="shared" si="12"/>
        <v>0.99999999985312749</v>
      </c>
      <c r="P48" s="342">
        <f t="shared" si="13"/>
        <v>3.111564272535377E-5</v>
      </c>
      <c r="Q48" s="343">
        <f t="shared" si="14"/>
        <v>91.138696249650636</v>
      </c>
      <c r="R48" s="344">
        <f t="shared" si="15"/>
        <v>-76.650272800831644</v>
      </c>
      <c r="S48" s="346">
        <f t="shared" si="16"/>
        <v>103.34972719916836</v>
      </c>
      <c r="U48" s="319">
        <f t="shared" si="23"/>
        <v>1000000000</v>
      </c>
      <c r="V48" s="319">
        <f t="shared" si="24"/>
        <v>630.96416099999999</v>
      </c>
      <c r="X48" s="345">
        <f t="shared" si="17"/>
        <v>86.866165034893541</v>
      </c>
      <c r="Y48" s="346">
        <f t="shared" si="18"/>
        <v>-73.099629394057715</v>
      </c>
      <c r="AA48" s="345">
        <f t="shared" si="19"/>
        <v>61.10528137285209</v>
      </c>
      <c r="AB48" s="346">
        <f t="shared" si="20"/>
        <v>-3.5506434067739474</v>
      </c>
      <c r="AD48">
        <f t="shared" si="25"/>
        <v>0</v>
      </c>
      <c r="AE48">
        <f t="shared" si="26"/>
        <v>0</v>
      </c>
    </row>
    <row r="49" spans="1:31" x14ac:dyDescent="0.2">
      <c r="A49" s="347">
        <v>27.542000000000002</v>
      </c>
      <c r="B49" s="364">
        <f t="shared" si="22"/>
        <v>2.7542000000000001E-2</v>
      </c>
      <c r="C49" s="337">
        <f t="shared" si="0"/>
        <v>1.0023129386457599</v>
      </c>
      <c r="D49" s="338">
        <f t="shared" si="1"/>
        <v>6.7948353269607631E-2</v>
      </c>
      <c r="E49" s="338">
        <f t="shared" si="2"/>
        <v>1.0000000013476067</v>
      </c>
      <c r="F49" s="339">
        <f t="shared" si="3"/>
        <v>5.1915446813138924E-5</v>
      </c>
      <c r="G49" s="338">
        <f t="shared" si="4"/>
        <v>1</v>
      </c>
      <c r="H49" s="339">
        <f t="shared" si="5"/>
        <v>0</v>
      </c>
      <c r="I49" s="337">
        <f t="shared" si="6"/>
        <v>3.7933146315293484</v>
      </c>
      <c r="J49" s="340">
        <f t="shared" si="7"/>
        <v>1.3040215419098202</v>
      </c>
      <c r="K49" s="348">
        <f t="shared" si="8"/>
        <v>1.0000091721067959</v>
      </c>
      <c r="L49" s="349">
        <f t="shared" si="9"/>
        <v>4.2829981765287375E-3</v>
      </c>
      <c r="M49" s="337">
        <f t="shared" si="10"/>
        <v>1.0000000034135279</v>
      </c>
      <c r="N49" s="340">
        <f t="shared" si="11"/>
        <v>8.2625999811969221E-5</v>
      </c>
      <c r="O49" s="341">
        <f t="shared" si="12"/>
        <v>0.99999999982342591</v>
      </c>
      <c r="P49" s="342">
        <f t="shared" si="13"/>
        <v>3.4117083960154169E-5</v>
      </c>
      <c r="Q49" s="343">
        <f t="shared" si="14"/>
        <v>90.396088988442074</v>
      </c>
      <c r="R49" s="344">
        <f t="shared" si="15"/>
        <v>-78.366401333150051</v>
      </c>
      <c r="S49" s="346">
        <f t="shared" si="16"/>
        <v>101.63359866684995</v>
      </c>
      <c r="U49" s="319">
        <f t="shared" si="23"/>
        <v>1000000000</v>
      </c>
      <c r="V49" s="319">
        <f t="shared" si="24"/>
        <v>758.56176400000004</v>
      </c>
      <c r="X49" s="345">
        <f t="shared" si="17"/>
        <v>86.126926714812058</v>
      </c>
      <c r="Y49" s="346">
        <f t="shared" si="18"/>
        <v>-74.474267232563903</v>
      </c>
      <c r="AA49" s="345">
        <f t="shared" si="19"/>
        <v>61.101912431725026</v>
      </c>
      <c r="AB49" s="346">
        <f t="shared" si="20"/>
        <v>-3.8921341005861581</v>
      </c>
      <c r="AD49">
        <f t="shared" si="25"/>
        <v>0</v>
      </c>
      <c r="AE49">
        <f t="shared" si="26"/>
        <v>0</v>
      </c>
    </row>
    <row r="50" spans="1:31" x14ac:dyDescent="0.2">
      <c r="A50" s="347">
        <v>30.2</v>
      </c>
      <c r="B50" s="364">
        <f t="shared" si="22"/>
        <v>3.0199999999999998E-2</v>
      </c>
      <c r="C50" s="337">
        <f t="shared" si="0"/>
        <v>1.0027802618579036</v>
      </c>
      <c r="D50" s="338">
        <f t="shared" si="1"/>
        <v>7.4482690027231874E-2</v>
      </c>
      <c r="E50" s="338">
        <f t="shared" si="2"/>
        <v>1.0000000016202653</v>
      </c>
      <c r="F50" s="339">
        <f t="shared" si="3"/>
        <v>5.6925658756510219E-5</v>
      </c>
      <c r="G50" s="338">
        <f t="shared" si="4"/>
        <v>1</v>
      </c>
      <c r="H50" s="339">
        <f t="shared" si="5"/>
        <v>0</v>
      </c>
      <c r="I50" s="337">
        <f t="shared" si="6"/>
        <v>4.1350033078701598</v>
      </c>
      <c r="J50" s="340">
        <f t="shared" si="7"/>
        <v>1.3265369263139013</v>
      </c>
      <c r="K50" s="348">
        <f t="shared" si="8"/>
        <v>1.0000110278699996</v>
      </c>
      <c r="L50" s="349">
        <f t="shared" si="9"/>
        <v>4.6963323254694527E-3</v>
      </c>
      <c r="M50" s="337">
        <f t="shared" si="10"/>
        <v>1.0000000041041799</v>
      </c>
      <c r="N50" s="340">
        <f t="shared" si="11"/>
        <v>9.0599999752107521E-5</v>
      </c>
      <c r="O50" s="341">
        <f t="shared" si="12"/>
        <v>0.99999999978770004</v>
      </c>
      <c r="P50" s="342">
        <f t="shared" si="13"/>
        <v>3.7409626594797289E-5</v>
      </c>
      <c r="Q50" s="343">
        <f t="shared" si="14"/>
        <v>89.642916394190522</v>
      </c>
      <c r="R50" s="344">
        <f t="shared" si="15"/>
        <v>-80.007503912700358</v>
      </c>
      <c r="S50" s="346">
        <f t="shared" si="16"/>
        <v>99.992496087299642</v>
      </c>
      <c r="U50" s="319">
        <f t="shared" si="23"/>
        <v>1000000000</v>
      </c>
      <c r="V50" s="319">
        <f t="shared" si="24"/>
        <v>912.04</v>
      </c>
      <c r="X50" s="345">
        <f t="shared" si="17"/>
        <v>85.377802925107886</v>
      </c>
      <c r="Y50" s="346">
        <f t="shared" si="18"/>
        <v>-75.741078308759441</v>
      </c>
      <c r="AA50" s="345">
        <f t="shared" si="19"/>
        <v>61.097863627177638</v>
      </c>
      <c r="AB50" s="346">
        <f t="shared" si="20"/>
        <v>-4.2664256039409265</v>
      </c>
      <c r="AD50">
        <f t="shared" si="25"/>
        <v>0</v>
      </c>
      <c r="AE50">
        <f t="shared" si="26"/>
        <v>0</v>
      </c>
    </row>
    <row r="51" spans="1:31" x14ac:dyDescent="0.2">
      <c r="A51" s="347">
        <v>33.113</v>
      </c>
      <c r="B51" s="364">
        <f t="shared" si="22"/>
        <v>3.3112999999999997E-2</v>
      </c>
      <c r="C51" s="337">
        <f t="shared" si="0"/>
        <v>1.0033415439639592</v>
      </c>
      <c r="D51" s="338">
        <f t="shared" si="1"/>
        <v>8.1636578682641819E-2</v>
      </c>
      <c r="E51" s="338">
        <f t="shared" si="2"/>
        <v>1.0000000019479118</v>
      </c>
      <c r="F51" s="339">
        <f t="shared" si="3"/>
        <v>6.2416534370615391E-5</v>
      </c>
      <c r="G51" s="338">
        <f t="shared" si="4"/>
        <v>1</v>
      </c>
      <c r="H51" s="339">
        <f t="shared" si="5"/>
        <v>0</v>
      </c>
      <c r="I51" s="337">
        <f t="shared" si="6"/>
        <v>4.5114971301634839</v>
      </c>
      <c r="J51" s="340">
        <f t="shared" si="7"/>
        <v>1.3472840319103621</v>
      </c>
      <c r="K51" s="348">
        <f t="shared" si="8"/>
        <v>1.0000132578873915</v>
      </c>
      <c r="L51" s="349">
        <f t="shared" si="9"/>
        <v>5.1493185795589754E-3</v>
      </c>
      <c r="M51" s="337">
        <f t="shared" si="10"/>
        <v>1.0000000049341184</v>
      </c>
      <c r="N51" s="340">
        <f t="shared" si="11"/>
        <v>9.9338999673233058E-5</v>
      </c>
      <c r="O51" s="341">
        <f t="shared" si="12"/>
        <v>0.99999999974476916</v>
      </c>
      <c r="P51" s="342">
        <f t="shared" si="13"/>
        <v>4.1018045216726182E-5</v>
      </c>
      <c r="Q51" s="343">
        <f t="shared" si="14"/>
        <v>88.881178919543913</v>
      </c>
      <c r="R51" s="344">
        <f t="shared" si="15"/>
        <v>-81.580551779783917</v>
      </c>
      <c r="S51" s="346">
        <f t="shared" si="16"/>
        <v>98.419448220216083</v>
      </c>
      <c r="U51" s="319">
        <f t="shared" si="23"/>
        <v>1000000000</v>
      </c>
      <c r="V51" s="319">
        <f t="shared" si="24"/>
        <v>1096.470769</v>
      </c>
      <c r="X51" s="345">
        <f t="shared" si="17"/>
        <v>84.620925804716364</v>
      </c>
      <c r="Y51" s="346">
        <f t="shared" si="18"/>
        <v>-76.904346405153987</v>
      </c>
      <c r="AA51" s="345">
        <f t="shared" si="19"/>
        <v>61.093003272922537</v>
      </c>
      <c r="AB51" s="346">
        <f t="shared" si="20"/>
        <v>-4.6762053746299115</v>
      </c>
      <c r="AD51">
        <f t="shared" si="25"/>
        <v>0</v>
      </c>
      <c r="AE51">
        <f t="shared" si="26"/>
        <v>0</v>
      </c>
    </row>
    <row r="52" spans="1:31" x14ac:dyDescent="0.2">
      <c r="A52" s="347">
        <v>36.308</v>
      </c>
      <c r="B52" s="364">
        <f t="shared" si="22"/>
        <v>3.6308E-2</v>
      </c>
      <c r="C52" s="337">
        <f t="shared" si="0"/>
        <v>1.0040161373548651</v>
      </c>
      <c r="D52" s="338">
        <f t="shared" si="1"/>
        <v>8.9473371746386504E-2</v>
      </c>
      <c r="E52" s="338">
        <f t="shared" si="2"/>
        <v>1.0000000023419462</v>
      </c>
      <c r="F52" s="339">
        <f t="shared" si="3"/>
        <v>6.843896745486642E-5</v>
      </c>
      <c r="G52" s="338">
        <f t="shared" si="4"/>
        <v>1</v>
      </c>
      <c r="H52" s="339">
        <f t="shared" si="5"/>
        <v>0</v>
      </c>
      <c r="I52" s="337">
        <f t="shared" si="6"/>
        <v>4.9263129761975621</v>
      </c>
      <c r="J52" s="340">
        <f t="shared" si="7"/>
        <v>1.3663841919616764</v>
      </c>
      <c r="K52" s="348">
        <f t="shared" si="8"/>
        <v>1.0000159397438808</v>
      </c>
      <c r="L52" s="349">
        <f t="shared" si="9"/>
        <v>5.6461548250325644E-3</v>
      </c>
      <c r="M52" s="337">
        <f t="shared" si="10"/>
        <v>1.0000000059322189</v>
      </c>
      <c r="N52" s="340">
        <f t="shared" si="11"/>
        <v>1.0892399956922599E-4</v>
      </c>
      <c r="O52" s="341">
        <f t="shared" si="12"/>
        <v>0.9999999996931398</v>
      </c>
      <c r="P52" s="342">
        <f t="shared" si="13"/>
        <v>4.4975785518988379E-5</v>
      </c>
      <c r="Q52" s="343">
        <f t="shared" si="14"/>
        <v>88.111337955096459</v>
      </c>
      <c r="R52" s="344">
        <f t="shared" si="15"/>
        <v>-83.095889769833605</v>
      </c>
      <c r="S52" s="346">
        <f t="shared" si="16"/>
        <v>96.904110230166395</v>
      </c>
      <c r="U52" s="319">
        <f t="shared" si="23"/>
        <v>1000000000</v>
      </c>
      <c r="V52" s="319">
        <f t="shared" si="24"/>
        <v>1318.2708640000001</v>
      </c>
      <c r="X52" s="345">
        <f t="shared" si="17"/>
        <v>83.856922803412061</v>
      </c>
      <c r="Y52" s="346">
        <f t="shared" si="18"/>
        <v>-77.970787525403182</v>
      </c>
      <c r="AA52" s="345">
        <f t="shared" si="19"/>
        <v>61.087165309779394</v>
      </c>
      <c r="AB52" s="346">
        <f t="shared" si="20"/>
        <v>-5.12510224443042</v>
      </c>
      <c r="AD52">
        <f t="shared" si="25"/>
        <v>0</v>
      </c>
      <c r="AE52">
        <f t="shared" si="26"/>
        <v>0</v>
      </c>
    </row>
    <row r="53" spans="1:31" x14ac:dyDescent="0.2">
      <c r="A53" s="347">
        <v>39.811</v>
      </c>
      <c r="B53" s="364">
        <f t="shared" si="22"/>
        <v>3.9810999999999999E-2</v>
      </c>
      <c r="C53" s="337">
        <f t="shared" si="0"/>
        <v>1.0048265242456231</v>
      </c>
      <c r="D53" s="338">
        <f t="shared" si="1"/>
        <v>9.805295594732942E-2</v>
      </c>
      <c r="E53" s="338">
        <f t="shared" si="2"/>
        <v>1.0000000028156484</v>
      </c>
      <c r="F53" s="339">
        <f t="shared" si="3"/>
        <v>7.5041966852628804E-5</v>
      </c>
      <c r="G53" s="338">
        <f t="shared" si="4"/>
        <v>1</v>
      </c>
      <c r="H53" s="339">
        <f t="shared" si="5"/>
        <v>0</v>
      </c>
      <c r="I53" s="337">
        <f t="shared" si="6"/>
        <v>5.382848639044254</v>
      </c>
      <c r="J53" s="340">
        <f t="shared" si="7"/>
        <v>1.3839355485485514</v>
      </c>
      <c r="K53" s="348">
        <f t="shared" si="8"/>
        <v>1.0000191638233313</v>
      </c>
      <c r="L53" s="349">
        <f t="shared" si="9"/>
        <v>6.1908831830190603E-3</v>
      </c>
      <c r="M53" s="337">
        <f t="shared" si="10"/>
        <v>1.0000000071321207</v>
      </c>
      <c r="N53" s="340">
        <f t="shared" si="11"/>
        <v>1.1943299943212627E-4</v>
      </c>
      <c r="O53" s="341">
        <f t="shared" si="12"/>
        <v>0.99999999963107156</v>
      </c>
      <c r="P53" s="342">
        <f t="shared" si="13"/>
        <v>4.9315054465398315E-5</v>
      </c>
      <c r="Q53" s="343">
        <f t="shared" si="14"/>
        <v>87.334554641059526</v>
      </c>
      <c r="R53" s="344">
        <f t="shared" si="15"/>
        <v>-84.562344176601997</v>
      </c>
      <c r="S53" s="346">
        <f t="shared" si="16"/>
        <v>95.437655823398003</v>
      </c>
      <c r="U53" s="319">
        <f t="shared" si="23"/>
        <v>1000000000</v>
      </c>
      <c r="V53" s="319">
        <f t="shared" si="24"/>
        <v>1584.9157210000001</v>
      </c>
      <c r="X53" s="345">
        <f t="shared" si="17"/>
        <v>83.087147431748576</v>
      </c>
      <c r="Y53" s="346">
        <f t="shared" si="18"/>
        <v>-78.945797669119699</v>
      </c>
      <c r="AA53" s="345">
        <f t="shared" si="19"/>
        <v>61.080157367405974</v>
      </c>
      <c r="AB53" s="346">
        <f t="shared" si="20"/>
        <v>-5.6165465074823091</v>
      </c>
      <c r="AD53">
        <f t="shared" si="25"/>
        <v>0</v>
      </c>
      <c r="AE53">
        <f t="shared" si="26"/>
        <v>0</v>
      </c>
    </row>
    <row r="54" spans="1:31" x14ac:dyDescent="0.2">
      <c r="A54" s="347">
        <v>43.652000000000001</v>
      </c>
      <c r="B54" s="364">
        <f t="shared" si="22"/>
        <v>4.3652000000000003E-2</v>
      </c>
      <c r="C54" s="337">
        <f t="shared" si="0"/>
        <v>1.0057999705829981</v>
      </c>
      <c r="D54" s="338">
        <f t="shared" si="1"/>
        <v>0.10744371160077461</v>
      </c>
      <c r="E54" s="338">
        <f t="shared" si="2"/>
        <v>1.0000000033851704</v>
      </c>
      <c r="F54" s="339">
        <f t="shared" si="3"/>
        <v>8.2282081228987427E-5</v>
      </c>
      <c r="G54" s="338">
        <f t="shared" si="4"/>
        <v>1</v>
      </c>
      <c r="H54" s="339">
        <f t="shared" si="5"/>
        <v>0</v>
      </c>
      <c r="I54" s="337">
        <f t="shared" si="6"/>
        <v>5.8850304353014788</v>
      </c>
      <c r="J54" s="340">
        <f t="shared" si="7"/>
        <v>1.4000451439589172</v>
      </c>
      <c r="K54" s="348">
        <f t="shared" si="8"/>
        <v>1.0000230400510279</v>
      </c>
      <c r="L54" s="349">
        <f t="shared" si="9"/>
        <v>6.7881674503082155E-3</v>
      </c>
      <c r="M54" s="337">
        <f t="shared" si="10"/>
        <v>1.0000000085747369</v>
      </c>
      <c r="N54" s="340">
        <f t="shared" si="11"/>
        <v>1.3095599925139117E-4</v>
      </c>
      <c r="O54" s="341">
        <f t="shared" si="12"/>
        <v>0.99999999955644825</v>
      </c>
      <c r="P54" s="342">
        <f t="shared" si="13"/>
        <v>5.4073013937371577E-5</v>
      </c>
      <c r="Q54" s="343">
        <f t="shared" si="14"/>
        <v>86.551446837303914</v>
      </c>
      <c r="R54" s="344">
        <f t="shared" si="15"/>
        <v>-85.989702804862929</v>
      </c>
      <c r="S54" s="346">
        <f t="shared" si="16"/>
        <v>94.010297195137071</v>
      </c>
      <c r="U54" s="319">
        <f t="shared" si="23"/>
        <v>1000000000</v>
      </c>
      <c r="V54" s="319">
        <f t="shared" si="24"/>
        <v>1905.497104</v>
      </c>
      <c r="X54" s="345">
        <f t="shared" si="17"/>
        <v>82.312450183123616</v>
      </c>
      <c r="Y54" s="346">
        <f t="shared" si="18"/>
        <v>-79.835247848385052</v>
      </c>
      <c r="AA54" s="345">
        <f t="shared" si="19"/>
        <v>61.071746812275322</v>
      </c>
      <c r="AB54" s="346">
        <f t="shared" si="20"/>
        <v>-6.154454956477867</v>
      </c>
      <c r="AD54">
        <f t="shared" si="25"/>
        <v>0</v>
      </c>
      <c r="AE54">
        <f t="shared" si="26"/>
        <v>0</v>
      </c>
    </row>
    <row r="55" spans="1:31" x14ac:dyDescent="0.2">
      <c r="A55" s="347">
        <v>47.863</v>
      </c>
      <c r="B55" s="364">
        <f t="shared" si="22"/>
        <v>4.7863000000000003E-2</v>
      </c>
      <c r="C55" s="337">
        <f t="shared" si="0"/>
        <v>1.0069689012070488</v>
      </c>
      <c r="D55" s="338">
        <f t="shared" si="1"/>
        <v>0.11771719594475107</v>
      </c>
      <c r="E55" s="338">
        <f t="shared" si="2"/>
        <v>1.0000000040697907</v>
      </c>
      <c r="F55" s="339">
        <f t="shared" si="3"/>
        <v>9.0219629159386656E-5</v>
      </c>
      <c r="G55" s="338">
        <f t="shared" si="4"/>
        <v>1</v>
      </c>
      <c r="H55" s="339">
        <f t="shared" si="5"/>
        <v>0</v>
      </c>
      <c r="I55" s="337">
        <f t="shared" si="6"/>
        <v>6.4370546971373939</v>
      </c>
      <c r="J55" s="340">
        <f t="shared" si="7"/>
        <v>1.4148140232019262</v>
      </c>
      <c r="K55" s="348">
        <f t="shared" si="8"/>
        <v>1.000027699629759</v>
      </c>
      <c r="L55" s="349">
        <f t="shared" si="9"/>
        <v>7.4429819807408171E-3</v>
      </c>
      <c r="M55" s="337">
        <f t="shared" si="10"/>
        <v>1.0000000103089004</v>
      </c>
      <c r="N55" s="340">
        <f t="shared" si="11"/>
        <v>1.435889990131702E-4</v>
      </c>
      <c r="O55" s="341">
        <f t="shared" si="12"/>
        <v>0.99999999946674401</v>
      </c>
      <c r="P55" s="342">
        <f t="shared" si="13"/>
        <v>5.9289303275259995E-5</v>
      </c>
      <c r="Q55" s="343">
        <f t="shared" si="14"/>
        <v>85.762628783401155</v>
      </c>
      <c r="R55" s="344">
        <f t="shared" si="15"/>
        <v>-87.387574341005603</v>
      </c>
      <c r="S55" s="346">
        <f t="shared" si="16"/>
        <v>92.612425658994397</v>
      </c>
      <c r="U55" s="319">
        <f t="shared" si="23"/>
        <v>1000000000</v>
      </c>
      <c r="V55" s="319">
        <f t="shared" si="24"/>
        <v>2290.8667689999997</v>
      </c>
      <c r="X55" s="345">
        <f t="shared" si="17"/>
        <v>81.533720914784055</v>
      </c>
      <c r="Y55" s="346">
        <f t="shared" si="18"/>
        <v>-80.644648006684022</v>
      </c>
      <c r="AA55" s="345">
        <f t="shared" si="19"/>
        <v>61.061658026712095</v>
      </c>
      <c r="AB55" s="346">
        <f t="shared" si="20"/>
        <v>-6.7429263343215569</v>
      </c>
      <c r="AD55">
        <f t="shared" si="25"/>
        <v>0</v>
      </c>
      <c r="AE55">
        <f t="shared" si="26"/>
        <v>0</v>
      </c>
    </row>
    <row r="56" spans="1:31" x14ac:dyDescent="0.2">
      <c r="A56" s="347">
        <v>52.481000000000002</v>
      </c>
      <c r="B56" s="364">
        <f t="shared" si="22"/>
        <v>5.2481E-2</v>
      </c>
      <c r="C56" s="337">
        <f t="shared" si="0"/>
        <v>1.0083726900570689</v>
      </c>
      <c r="D56" s="338">
        <f t="shared" si="1"/>
        <v>0.12895492340957612</v>
      </c>
      <c r="E56" s="338">
        <f t="shared" si="2"/>
        <v>1.000000004893014</v>
      </c>
      <c r="F56" s="339">
        <f t="shared" si="3"/>
        <v>9.8924353996097846E-5</v>
      </c>
      <c r="G56" s="338">
        <f t="shared" si="4"/>
        <v>1</v>
      </c>
      <c r="H56" s="339">
        <f t="shared" si="5"/>
        <v>0</v>
      </c>
      <c r="I56" s="337">
        <f t="shared" si="6"/>
        <v>7.0437817279341353</v>
      </c>
      <c r="J56" s="340">
        <f t="shared" si="7"/>
        <v>1.4283458526734738</v>
      </c>
      <c r="K56" s="348">
        <f t="shared" si="8"/>
        <v>1.0000333025215913</v>
      </c>
      <c r="L56" s="349">
        <f t="shared" si="9"/>
        <v>8.1610780418495104E-3</v>
      </c>
      <c r="M56" s="337">
        <f t="shared" si="10"/>
        <v>1.000000012394149</v>
      </c>
      <c r="N56" s="340">
        <f t="shared" si="11"/>
        <v>1.5744299869908531E-4</v>
      </c>
      <c r="O56" s="341">
        <f t="shared" si="12"/>
        <v>0.99999999935887873</v>
      </c>
      <c r="P56" s="342">
        <f t="shared" si="13"/>
        <v>6.5009755466504255E-5</v>
      </c>
      <c r="Q56" s="343">
        <f t="shared" si="14"/>
        <v>84.968203296592009</v>
      </c>
      <c r="R56" s="344">
        <f t="shared" si="15"/>
        <v>-88.766244331341468</v>
      </c>
      <c r="S56" s="346">
        <f t="shared" si="16"/>
        <v>91.233755668658532</v>
      </c>
      <c r="U56" s="319">
        <f t="shared" si="23"/>
        <v>1000000000</v>
      </c>
      <c r="V56" s="319">
        <f t="shared" si="24"/>
        <v>2754.255361</v>
      </c>
      <c r="X56" s="345">
        <f t="shared" si="17"/>
        <v>80.751395757667808</v>
      </c>
      <c r="Y56" s="346">
        <f t="shared" si="18"/>
        <v>-81.379614627459148</v>
      </c>
      <c r="AA56" s="345">
        <f t="shared" si="19"/>
        <v>61.049557697019225</v>
      </c>
      <c r="AB56" s="346">
        <f t="shared" si="20"/>
        <v>-7.3866297038823188</v>
      </c>
      <c r="AD56">
        <f t="shared" si="25"/>
        <v>0</v>
      </c>
      <c r="AE56">
        <f t="shared" si="26"/>
        <v>0</v>
      </c>
    </row>
    <row r="57" spans="1:31" x14ac:dyDescent="0.2">
      <c r="A57" s="347">
        <v>57.544000000000004</v>
      </c>
      <c r="B57" s="364">
        <f t="shared" si="22"/>
        <v>5.7544000000000005E-2</v>
      </c>
      <c r="C57" s="337">
        <f t="shared" si="0"/>
        <v>1.0100576541736765</v>
      </c>
      <c r="D57" s="338">
        <f t="shared" si="1"/>
        <v>0.14123791538089783</v>
      </c>
      <c r="E57" s="338">
        <f t="shared" si="2"/>
        <v>1.0000000058826408</v>
      </c>
      <c r="F57" s="339">
        <f t="shared" si="3"/>
        <v>1.0846788404557492E-4</v>
      </c>
      <c r="G57" s="338">
        <f t="shared" si="4"/>
        <v>1</v>
      </c>
      <c r="H57" s="339">
        <f t="shared" si="5"/>
        <v>0</v>
      </c>
      <c r="I57" s="337">
        <f t="shared" si="6"/>
        <v>7.7102117635994434</v>
      </c>
      <c r="J57" s="340">
        <f t="shared" si="7"/>
        <v>1.4407318008470571</v>
      </c>
      <c r="K57" s="348">
        <f t="shared" si="8"/>
        <v>1.0000400379236578</v>
      </c>
      <c r="L57" s="349">
        <f t="shared" si="9"/>
        <v>8.9483616199600245E-3</v>
      </c>
      <c r="M57" s="337">
        <f t="shared" si="10"/>
        <v>1.0000000149009036</v>
      </c>
      <c r="N57" s="340">
        <f t="shared" si="11"/>
        <v>1.726319982850848E-4</v>
      </c>
      <c r="O57" s="341">
        <f t="shared" si="12"/>
        <v>0.99999999922921012</v>
      </c>
      <c r="P57" s="342">
        <f t="shared" si="13"/>
        <v>7.1281442228283436E-5</v>
      </c>
      <c r="Q57" s="343">
        <f t="shared" si="14"/>
        <v>84.168551673284909</v>
      </c>
      <c r="R57" s="344">
        <f t="shared" si="15"/>
        <v>-90.135245264723693</v>
      </c>
      <c r="S57" s="346">
        <f t="shared" si="16"/>
        <v>89.864754735276307</v>
      </c>
      <c r="U57" s="319">
        <f t="shared" si="23"/>
        <v>1000000000</v>
      </c>
      <c r="V57" s="319">
        <f t="shared" si="24"/>
        <v>3311.3119360000005</v>
      </c>
      <c r="X57" s="345">
        <f t="shared" si="17"/>
        <v>79.966245904006385</v>
      </c>
      <c r="Y57" s="346">
        <f t="shared" si="18"/>
        <v>-82.045039423099226</v>
      </c>
      <c r="AA57" s="345">
        <f t="shared" si="19"/>
        <v>61.03505592737352</v>
      </c>
      <c r="AB57" s="346">
        <f t="shared" si="20"/>
        <v>-8.0902058416244689</v>
      </c>
      <c r="AD57">
        <f t="shared" si="25"/>
        <v>0</v>
      </c>
      <c r="AE57">
        <f t="shared" si="26"/>
        <v>0</v>
      </c>
    </row>
    <row r="58" spans="1:31" x14ac:dyDescent="0.2">
      <c r="A58" s="347">
        <v>63.095999999999997</v>
      </c>
      <c r="B58" s="364">
        <f t="shared" si="22"/>
        <v>6.3095999999999999E-2</v>
      </c>
      <c r="C58" s="337">
        <f t="shared" si="0"/>
        <v>1.0120799058698142</v>
      </c>
      <c r="D58" s="338">
        <f t="shared" si="1"/>
        <v>0.15465796390780731</v>
      </c>
      <c r="E58" s="338">
        <f t="shared" si="2"/>
        <v>1.0000000070725479</v>
      </c>
      <c r="F58" s="339">
        <f t="shared" si="3"/>
        <v>1.1893315734586635E-4</v>
      </c>
      <c r="G58" s="338">
        <f t="shared" si="4"/>
        <v>1</v>
      </c>
      <c r="H58" s="339">
        <f t="shared" si="5"/>
        <v>0</v>
      </c>
      <c r="I58" s="337">
        <f t="shared" si="6"/>
        <v>8.44214220137194</v>
      </c>
      <c r="J58" s="340">
        <f t="shared" si="7"/>
        <v>1.4520642089561095</v>
      </c>
      <c r="K58" s="348">
        <f t="shared" si="8"/>
        <v>1.0000481363714389</v>
      </c>
      <c r="L58" s="349">
        <f t="shared" si="9"/>
        <v>9.8116706623207085E-3</v>
      </c>
      <c r="M58" s="337">
        <f t="shared" si="10"/>
        <v>1.0000000179149733</v>
      </c>
      <c r="N58" s="340">
        <f t="shared" si="11"/>
        <v>1.8928799773927369E-4</v>
      </c>
      <c r="O58" s="341">
        <f t="shared" si="12"/>
        <v>0.99999999907329906</v>
      </c>
      <c r="P58" s="342">
        <f t="shared" si="13"/>
        <v>7.8158867654445314E-5</v>
      </c>
      <c r="Q58" s="343">
        <f t="shared" si="14"/>
        <v>83.363522092840512</v>
      </c>
      <c r="R58" s="344">
        <f t="shared" si="15"/>
        <v>-91.504741349498602</v>
      </c>
      <c r="S58" s="346">
        <f t="shared" si="16"/>
        <v>88.495258650501398</v>
      </c>
      <c r="U58" s="319">
        <f t="shared" si="23"/>
        <v>1000000000</v>
      </c>
      <c r="V58" s="319">
        <f t="shared" si="24"/>
        <v>3981.1052159999995</v>
      </c>
      <c r="X58" s="345">
        <f t="shared" si="17"/>
        <v>79.17858907746043</v>
      </c>
      <c r="Y58" s="346">
        <f t="shared" si="18"/>
        <v>-82.645828934083795</v>
      </c>
      <c r="AA58" s="345">
        <f t="shared" si="19"/>
        <v>61.017683173475092</v>
      </c>
      <c r="AB58" s="346">
        <f t="shared" si="20"/>
        <v>-8.8589124154147907</v>
      </c>
      <c r="AD58">
        <f t="shared" si="25"/>
        <v>0</v>
      </c>
      <c r="AE58">
        <f t="shared" si="26"/>
        <v>0</v>
      </c>
    </row>
    <row r="59" spans="1:31" x14ac:dyDescent="0.2">
      <c r="A59" s="347">
        <v>69.183000000000007</v>
      </c>
      <c r="B59" s="364">
        <f t="shared" si="22"/>
        <v>6.9183000000000008E-2</v>
      </c>
      <c r="C59" s="337">
        <f t="shared" si="0"/>
        <v>1.0145055908158758</v>
      </c>
      <c r="D59" s="338">
        <f t="shared" si="1"/>
        <v>0.16930676717105864</v>
      </c>
      <c r="E59" s="338">
        <f t="shared" si="2"/>
        <v>1.0000000085029774</v>
      </c>
      <c r="F59" s="339">
        <f t="shared" si="3"/>
        <v>1.3040688184373883E-4</v>
      </c>
      <c r="G59" s="338">
        <f t="shared" si="4"/>
        <v>1</v>
      </c>
      <c r="H59" s="339">
        <f t="shared" si="5"/>
        <v>0</v>
      </c>
      <c r="I59" s="337">
        <f t="shared" si="6"/>
        <v>9.2456417287875805</v>
      </c>
      <c r="J59" s="340">
        <f t="shared" si="7"/>
        <v>1.4624252589939304</v>
      </c>
      <c r="K59" s="348">
        <f t="shared" si="8"/>
        <v>1.0000578717161268</v>
      </c>
      <c r="L59" s="349">
        <f t="shared" si="9"/>
        <v>1.0758152752054263E-2</v>
      </c>
      <c r="M59" s="337">
        <f t="shared" si="10"/>
        <v>1.0000000215382934</v>
      </c>
      <c r="N59" s="340">
        <f t="shared" si="11"/>
        <v>2.0754899701983252E-4</v>
      </c>
      <c r="O59" s="341">
        <f t="shared" si="12"/>
        <v>0.99999999888587288</v>
      </c>
      <c r="P59" s="342">
        <f t="shared" si="13"/>
        <v>8.5699013298218735E-5</v>
      </c>
      <c r="Q59" s="343">
        <f t="shared" si="14"/>
        <v>82.553125840169997</v>
      </c>
      <c r="R59" s="344">
        <f t="shared" si="15"/>
        <v>-92.884291863063041</v>
      </c>
      <c r="S59" s="346">
        <f t="shared" si="16"/>
        <v>87.115708136936959</v>
      </c>
      <c r="U59" s="319">
        <f t="shared" si="23"/>
        <v>1000000000</v>
      </c>
      <c r="V59" s="319">
        <f t="shared" si="24"/>
        <v>4786.2874890000012</v>
      </c>
      <c r="X59" s="345">
        <f t="shared" si="17"/>
        <v>78.388985658445279</v>
      </c>
      <c r="Y59" s="346">
        <f t="shared" si="18"/>
        <v>-83.186290222254399</v>
      </c>
      <c r="AA59" s="345">
        <f t="shared" si="19"/>
        <v>60.996890339819714</v>
      </c>
      <c r="AB59" s="346">
        <f t="shared" si="20"/>
        <v>-9.6980016408086378</v>
      </c>
      <c r="AD59">
        <f t="shared" si="25"/>
        <v>0</v>
      </c>
      <c r="AE59">
        <f t="shared" si="26"/>
        <v>0</v>
      </c>
    </row>
    <row r="60" spans="1:31" x14ac:dyDescent="0.2">
      <c r="A60" s="347">
        <v>75.858000000000004</v>
      </c>
      <c r="B60" s="364">
        <f t="shared" si="22"/>
        <v>7.5858000000000009E-2</v>
      </c>
      <c r="C60" s="337">
        <f t="shared" si="0"/>
        <v>1.017414569470428</v>
      </c>
      <c r="D60" s="338">
        <f t="shared" si="1"/>
        <v>0.18528651476607019</v>
      </c>
      <c r="E60" s="338">
        <f t="shared" si="2"/>
        <v>1.0000000102229214</v>
      </c>
      <c r="F60" s="339">
        <f t="shared" si="3"/>
        <v>1.4298896017171008E-4</v>
      </c>
      <c r="G60" s="338">
        <f t="shared" si="4"/>
        <v>1</v>
      </c>
      <c r="H60" s="339">
        <f t="shared" si="5"/>
        <v>0</v>
      </c>
      <c r="I60" s="337">
        <f t="shared" si="6"/>
        <v>10.127709877497052</v>
      </c>
      <c r="J60" s="340">
        <f t="shared" si="7"/>
        <v>1.4718961725557473</v>
      </c>
      <c r="K60" s="348">
        <f t="shared" si="8"/>
        <v>1.0000695773389892</v>
      </c>
      <c r="L60" s="349">
        <f t="shared" si="9"/>
        <v>1.1796042137683716E-2</v>
      </c>
      <c r="M60" s="337">
        <f t="shared" si="10"/>
        <v>1.0000000258949624</v>
      </c>
      <c r="N60" s="340">
        <f t="shared" si="11"/>
        <v>2.2757399607131992E-4</v>
      </c>
      <c r="O60" s="341">
        <f t="shared" si="12"/>
        <v>0.99999999866051237</v>
      </c>
      <c r="P60" s="342">
        <f t="shared" si="13"/>
        <v>9.3967531819246752E-5</v>
      </c>
      <c r="Q60" s="343">
        <f t="shared" si="14"/>
        <v>81.736873501752925</v>
      </c>
      <c r="R60" s="344">
        <f t="shared" si="15"/>
        <v>-94.283940852526968</v>
      </c>
      <c r="S60" s="346">
        <f t="shared" si="16"/>
        <v>85.716059147473032</v>
      </c>
      <c r="U60" s="319">
        <f t="shared" si="23"/>
        <v>1000000000</v>
      </c>
      <c r="V60" s="319">
        <f t="shared" si="24"/>
        <v>5754.4361640000006</v>
      </c>
      <c r="X60" s="345">
        <f t="shared" si="17"/>
        <v>77.597603458277561</v>
      </c>
      <c r="Y60" s="346">
        <f t="shared" si="18"/>
        <v>-83.670614264565543</v>
      </c>
      <c r="AA60" s="345">
        <f t="shared" si="19"/>
        <v>60.972020201570359</v>
      </c>
      <c r="AB60" s="346">
        <f t="shared" si="20"/>
        <v>-10.613326587961424</v>
      </c>
      <c r="AD60">
        <f t="shared" si="25"/>
        <v>0</v>
      </c>
      <c r="AE60">
        <f t="shared" si="26"/>
        <v>0</v>
      </c>
    </row>
    <row r="61" spans="1:31" x14ac:dyDescent="0.2">
      <c r="A61" s="347">
        <v>83.176000000000002</v>
      </c>
      <c r="B61" s="364">
        <f t="shared" si="22"/>
        <v>8.3176E-2</v>
      </c>
      <c r="C61" s="337">
        <f t="shared" si="0"/>
        <v>1.0209004796695134</v>
      </c>
      <c r="D61" s="338">
        <f t="shared" si="1"/>
        <v>0.20269598446880935</v>
      </c>
      <c r="E61" s="338">
        <f t="shared" si="2"/>
        <v>1.0000000122904649</v>
      </c>
      <c r="F61" s="339">
        <f t="shared" si="3"/>
        <v>1.5678306486921549E-4</v>
      </c>
      <c r="G61" s="338">
        <f t="shared" si="4"/>
        <v>1</v>
      </c>
      <c r="H61" s="339">
        <f t="shared" si="5"/>
        <v>0</v>
      </c>
      <c r="I61" s="337">
        <f t="shared" si="6"/>
        <v>11.095617179049794</v>
      </c>
      <c r="J61" s="340">
        <f t="shared" si="7"/>
        <v>1.4805481928599353</v>
      </c>
      <c r="K61" s="348">
        <f t="shared" si="8"/>
        <v>1.0000836484783027</v>
      </c>
      <c r="L61" s="349">
        <f t="shared" si="9"/>
        <v>1.2933881693354639E-2</v>
      </c>
      <c r="M61" s="337">
        <f t="shared" si="10"/>
        <v>1.0000000311321109</v>
      </c>
      <c r="N61" s="340">
        <f t="shared" si="11"/>
        <v>2.4952799482111122E-4</v>
      </c>
      <c r="O61" s="341">
        <f t="shared" si="12"/>
        <v>0.99999999838960651</v>
      </c>
      <c r="P61" s="342">
        <f t="shared" si="13"/>
        <v>1.0303255333704148E-4</v>
      </c>
      <c r="Q61" s="343">
        <f t="shared" si="14"/>
        <v>80.914482331302381</v>
      </c>
      <c r="R61" s="344">
        <f t="shared" si="15"/>
        <v>-95.712947750040797</v>
      </c>
      <c r="S61" s="346">
        <f t="shared" si="16"/>
        <v>84.287052249959203</v>
      </c>
      <c r="U61" s="319">
        <f t="shared" si="23"/>
        <v>1000000000</v>
      </c>
      <c r="V61" s="319">
        <f t="shared" si="24"/>
        <v>6918.2469760000004</v>
      </c>
      <c r="X61" s="345">
        <f t="shared" si="17"/>
        <v>76.80492137534857</v>
      </c>
      <c r="Y61" s="346">
        <f t="shared" si="18"/>
        <v>-84.102402979919219</v>
      </c>
      <c r="AA61" s="345">
        <f t="shared" si="19"/>
        <v>60.942311114048806</v>
      </c>
      <c r="AB61" s="346">
        <f t="shared" si="20"/>
        <v>-11.610544770121578</v>
      </c>
      <c r="AD61">
        <f t="shared" si="25"/>
        <v>0</v>
      </c>
      <c r="AE61">
        <f t="shared" si="26"/>
        <v>0</v>
      </c>
    </row>
    <row r="62" spans="1:31" x14ac:dyDescent="0.2">
      <c r="A62" s="347">
        <v>91.201000000000008</v>
      </c>
      <c r="B62" s="364">
        <f t="shared" si="22"/>
        <v>9.1201000000000004E-2</v>
      </c>
      <c r="C62" s="337">
        <f t="shared" si="0"/>
        <v>1.0250762698351292</v>
      </c>
      <c r="D62" s="338">
        <f t="shared" si="1"/>
        <v>0.22164488441111174</v>
      </c>
      <c r="E62" s="338">
        <f t="shared" si="2"/>
        <v>1.0000000147764956</v>
      </c>
      <c r="F62" s="339">
        <f t="shared" si="3"/>
        <v>1.7190983307010678E-4</v>
      </c>
      <c r="G62" s="338">
        <f t="shared" si="4"/>
        <v>1</v>
      </c>
      <c r="H62" s="339">
        <f t="shared" si="5"/>
        <v>0</v>
      </c>
      <c r="I62" s="337">
        <f t="shared" si="6"/>
        <v>12.157830480640543</v>
      </c>
      <c r="J62" s="340">
        <f t="shared" si="7"/>
        <v>1.4884517834820787</v>
      </c>
      <c r="K62" s="348">
        <f t="shared" si="8"/>
        <v>1.0001005674665708</v>
      </c>
      <c r="L62" s="349">
        <f t="shared" si="9"/>
        <v>1.4181610565418966E-2</v>
      </c>
      <c r="M62" s="337">
        <f t="shared" si="10"/>
        <v>1.0000000374293001</v>
      </c>
      <c r="N62" s="340">
        <f t="shared" si="11"/>
        <v>2.7360299317282096E-4</v>
      </c>
      <c r="O62" s="341">
        <f t="shared" si="12"/>
        <v>0.9999999980638673</v>
      </c>
      <c r="P62" s="342">
        <f t="shared" si="13"/>
        <v>1.1297335653692477E-4</v>
      </c>
      <c r="Q62" s="343">
        <f t="shared" si="14"/>
        <v>80.0850814174389</v>
      </c>
      <c r="R62" s="344">
        <f t="shared" si="15"/>
        <v>-97.181074794020162</v>
      </c>
      <c r="S62" s="346">
        <f t="shared" si="16"/>
        <v>82.818925205979838</v>
      </c>
      <c r="U62" s="319">
        <f t="shared" si="23"/>
        <v>1000000000</v>
      </c>
      <c r="V62" s="319">
        <f t="shared" si="24"/>
        <v>8317.6224010000005</v>
      </c>
      <c r="X62" s="345">
        <f t="shared" si="17"/>
        <v>76.010975877014673</v>
      </c>
      <c r="Y62" s="346">
        <f t="shared" si="18"/>
        <v>-84.485135163455979</v>
      </c>
      <c r="AA62" s="345">
        <f t="shared" si="19"/>
        <v>60.906855698519237</v>
      </c>
      <c r="AB62" s="346">
        <f t="shared" si="20"/>
        <v>-12.695939630564178</v>
      </c>
      <c r="AD62">
        <f t="shared" si="25"/>
        <v>0</v>
      </c>
      <c r="AE62">
        <f t="shared" si="26"/>
        <v>0</v>
      </c>
    </row>
    <row r="63" spans="1:31" x14ac:dyDescent="0.2">
      <c r="A63" s="347">
        <v>100</v>
      </c>
      <c r="B63" s="364">
        <f t="shared" si="22"/>
        <v>0.1</v>
      </c>
      <c r="C63" s="337">
        <f t="shared" si="0"/>
        <v>1.0300741401569378</v>
      </c>
      <c r="D63" s="338">
        <f t="shared" si="1"/>
        <v>0.24223657028579304</v>
      </c>
      <c r="E63" s="338">
        <f t="shared" si="2"/>
        <v>1.0000000177652877</v>
      </c>
      <c r="F63" s="339">
        <f t="shared" si="3"/>
        <v>1.8849555676754814E-4</v>
      </c>
      <c r="G63" s="338">
        <f t="shared" si="4"/>
        <v>1</v>
      </c>
      <c r="H63" s="339">
        <f t="shared" si="5"/>
        <v>0</v>
      </c>
      <c r="I63" s="337">
        <f t="shared" si="6"/>
        <v>13.32321970734611</v>
      </c>
      <c r="J63" s="340">
        <f t="shared" si="7"/>
        <v>1.4956687424640893</v>
      </c>
      <c r="K63" s="348">
        <f t="shared" si="8"/>
        <v>1.0001209076813087</v>
      </c>
      <c r="L63" s="349">
        <f t="shared" si="9"/>
        <v>1.5549630242725742E-2</v>
      </c>
      <c r="M63" s="337">
        <f t="shared" si="10"/>
        <v>1.0000000449999988</v>
      </c>
      <c r="N63" s="340">
        <f t="shared" si="11"/>
        <v>2.9999999100000044E-4</v>
      </c>
      <c r="O63" s="341">
        <f t="shared" si="12"/>
        <v>0.99999999767225212</v>
      </c>
      <c r="P63" s="342">
        <f t="shared" si="13"/>
        <v>1.238729362943105E-4</v>
      </c>
      <c r="Q63" s="343">
        <f t="shared" si="14"/>
        <v>79.247949821618647</v>
      </c>
      <c r="R63" s="344">
        <f t="shared" si="15"/>
        <v>-98.697197670736529</v>
      </c>
      <c r="S63" s="346">
        <f t="shared" si="16"/>
        <v>81.302802329263471</v>
      </c>
      <c r="U63" s="319">
        <f t="shared" si="23"/>
        <v>1000000000</v>
      </c>
      <c r="V63" s="319">
        <f t="shared" si="24"/>
        <v>10000</v>
      </c>
      <c r="X63" s="345">
        <f t="shared" si="17"/>
        <v>75.21609034283162</v>
      </c>
      <c r="Y63" s="346">
        <f t="shared" si="18"/>
        <v>-84.82176713719565</v>
      </c>
      <c r="AA63" s="345">
        <f t="shared" si="19"/>
        <v>60.864609636882037</v>
      </c>
      <c r="AB63" s="346">
        <f t="shared" si="20"/>
        <v>-13.875430533540865</v>
      </c>
      <c r="AD63">
        <f t="shared" si="25"/>
        <v>0</v>
      </c>
      <c r="AE63">
        <f t="shared" si="26"/>
        <v>0</v>
      </c>
    </row>
    <row r="64" spans="1:31" x14ac:dyDescent="0.2">
      <c r="A64" s="347">
        <v>109.65</v>
      </c>
      <c r="B64" s="364">
        <f t="shared" si="22"/>
        <v>0.10965000000000001</v>
      </c>
      <c r="C64" s="337">
        <f t="shared" si="0"/>
        <v>1.0360523395315344</v>
      </c>
      <c r="D64" s="338">
        <f t="shared" si="1"/>
        <v>0.26458082281606532</v>
      </c>
      <c r="E64" s="338">
        <f t="shared" si="2"/>
        <v>1.0000000213594229</v>
      </c>
      <c r="F64" s="339">
        <f t="shared" si="3"/>
        <v>2.0668537750037974E-4</v>
      </c>
      <c r="G64" s="338">
        <f t="shared" si="4"/>
        <v>1</v>
      </c>
      <c r="H64" s="339">
        <f t="shared" si="5"/>
        <v>0</v>
      </c>
      <c r="I64" s="337">
        <f t="shared" si="6"/>
        <v>14.601984491542812</v>
      </c>
      <c r="J64" s="340">
        <f t="shared" si="7"/>
        <v>1.5022588394619767</v>
      </c>
      <c r="K64" s="348">
        <f t="shared" si="8"/>
        <v>1.0001453670086744</v>
      </c>
      <c r="L64" s="349">
        <f t="shared" si="9"/>
        <v>1.7049891566770812E-2</v>
      </c>
      <c r="M64" s="337">
        <f t="shared" si="10"/>
        <v>1.0000000541040497</v>
      </c>
      <c r="N64" s="340">
        <f t="shared" si="11"/>
        <v>3.2894998813498235E-4</v>
      </c>
      <c r="O64" s="341">
        <f t="shared" si="12"/>
        <v>0.99999999720132027</v>
      </c>
      <c r="P64" s="342">
        <f t="shared" si="13"/>
        <v>1.3582667478095284E-4</v>
      </c>
      <c r="Q64" s="343">
        <f t="shared" si="14"/>
        <v>78.401844111086263</v>
      </c>
      <c r="R64" s="344">
        <f t="shared" si="15"/>
        <v>-100.27035655287885</v>
      </c>
      <c r="S64" s="346">
        <f t="shared" si="16"/>
        <v>79.729643447121148</v>
      </c>
      <c r="U64" s="319">
        <f t="shared" si="23"/>
        <v>1000000000</v>
      </c>
      <c r="V64" s="319">
        <f t="shared" si="24"/>
        <v>12023.122500000001</v>
      </c>
      <c r="X64" s="345">
        <f t="shared" si="17"/>
        <v>74.420248823716861</v>
      </c>
      <c r="Y64" s="346">
        <f t="shared" si="18"/>
        <v>-85.11505195270982</v>
      </c>
      <c r="AA64" s="345">
        <f t="shared" si="19"/>
        <v>60.814345445464411</v>
      </c>
      <c r="AB64" s="346">
        <f t="shared" si="20"/>
        <v>-15.155304600169043</v>
      </c>
      <c r="AD64">
        <f t="shared" si="25"/>
        <v>0</v>
      </c>
      <c r="AE64">
        <f t="shared" si="26"/>
        <v>0</v>
      </c>
    </row>
    <row r="65" spans="1:31" x14ac:dyDescent="0.2">
      <c r="A65" s="347">
        <v>120.23</v>
      </c>
      <c r="B65" s="364">
        <f t="shared" si="22"/>
        <v>0.12023</v>
      </c>
      <c r="C65" s="337">
        <f t="shared" si="0"/>
        <v>1.0431937841737449</v>
      </c>
      <c r="D65" s="338">
        <f t="shared" si="1"/>
        <v>0.28877071295286438</v>
      </c>
      <c r="E65" s="338">
        <f t="shared" si="2"/>
        <v>1.0000000256801727</v>
      </c>
      <c r="F65" s="339">
        <f t="shared" si="3"/>
        <v>2.2662820670579906E-4</v>
      </c>
      <c r="G65" s="338">
        <f t="shared" si="4"/>
        <v>1</v>
      </c>
      <c r="H65" s="339">
        <f t="shared" si="5"/>
        <v>0</v>
      </c>
      <c r="I65" s="337">
        <f t="shared" si="6"/>
        <v>16.004594432649782</v>
      </c>
      <c r="J65" s="340">
        <f t="shared" si="7"/>
        <v>1.5082735419844626</v>
      </c>
      <c r="K65" s="348">
        <f t="shared" si="8"/>
        <v>1.0001747704045667</v>
      </c>
      <c r="L65" s="349">
        <f t="shared" si="9"/>
        <v>1.8694649205071415E-2</v>
      </c>
      <c r="M65" s="337">
        <f t="shared" si="10"/>
        <v>1.0000000650486358</v>
      </c>
      <c r="N65" s="340">
        <f t="shared" si="11"/>
        <v>3.6068998435840569E-4</v>
      </c>
      <c r="O65" s="341">
        <f t="shared" si="12"/>
        <v>0.99999999663518169</v>
      </c>
      <c r="P65" s="342">
        <f t="shared" si="13"/>
        <v>1.4893243163079567E-4</v>
      </c>
      <c r="Q65" s="343">
        <f t="shared" si="14"/>
        <v>77.54577770487613</v>
      </c>
      <c r="R65" s="344">
        <f t="shared" si="15"/>
        <v>-101.90814139747779</v>
      </c>
      <c r="S65" s="346">
        <f t="shared" si="16"/>
        <v>78.091858602522208</v>
      </c>
      <c r="U65" s="319">
        <f t="shared" si="23"/>
        <v>1000000000</v>
      </c>
      <c r="V65" s="319">
        <f t="shared" si="24"/>
        <v>14455.252900000001</v>
      </c>
      <c r="X65" s="345">
        <f t="shared" si="17"/>
        <v>73.623848273414595</v>
      </c>
      <c r="Y65" s="346">
        <f t="shared" si="18"/>
        <v>-85.367249919391966</v>
      </c>
      <c r="AA65" s="345">
        <f t="shared" si="19"/>
        <v>60.754679589556531</v>
      </c>
      <c r="AB65" s="346">
        <f t="shared" si="20"/>
        <v>-16.540891478085829</v>
      </c>
      <c r="AD65">
        <f t="shared" si="25"/>
        <v>0</v>
      </c>
      <c r="AE65">
        <f t="shared" si="26"/>
        <v>0</v>
      </c>
    </row>
    <row r="66" spans="1:31" x14ac:dyDescent="0.2">
      <c r="A66" s="347">
        <v>131.83000000000001</v>
      </c>
      <c r="B66" s="364">
        <f t="shared" si="22"/>
        <v>0.13183</v>
      </c>
      <c r="C66" s="337">
        <f t="shared" si="0"/>
        <v>1.0517150069654069</v>
      </c>
      <c r="D66" s="338">
        <f t="shared" si="1"/>
        <v>0.31489815537357085</v>
      </c>
      <c r="E66" s="338">
        <f t="shared" si="2"/>
        <v>1.0000000308745578</v>
      </c>
      <c r="F66" s="339">
        <f t="shared" si="3"/>
        <v>2.4849369031494482E-4</v>
      </c>
      <c r="G66" s="338">
        <f t="shared" si="4"/>
        <v>1</v>
      </c>
      <c r="H66" s="339">
        <f t="shared" si="5"/>
        <v>0</v>
      </c>
      <c r="I66" s="337">
        <f t="shared" si="6"/>
        <v>17.542981505033527</v>
      </c>
      <c r="J66" s="340">
        <f t="shared" si="7"/>
        <v>1.5137625582009291</v>
      </c>
      <c r="K66" s="348">
        <f t="shared" si="8"/>
        <v>1.0002101178878984</v>
      </c>
      <c r="L66" s="349">
        <f t="shared" si="9"/>
        <v>2.0497858581889721E-2</v>
      </c>
      <c r="M66" s="337">
        <f t="shared" si="10"/>
        <v>1.0000000782061671</v>
      </c>
      <c r="N66" s="340">
        <f t="shared" si="11"/>
        <v>3.9548997938016313E-4</v>
      </c>
      <c r="O66" s="341">
        <f t="shared" si="12"/>
        <v>0.99999999595457245</v>
      </c>
      <c r="P66" s="342">
        <f t="shared" si="13"/>
        <v>1.6330169250546535E-4</v>
      </c>
      <c r="Q66" s="343">
        <f t="shared" si="14"/>
        <v>76.678248357420728</v>
      </c>
      <c r="R66" s="344">
        <f t="shared" si="15"/>
        <v>-103.61787914653814</v>
      </c>
      <c r="S66" s="346">
        <f t="shared" si="16"/>
        <v>76.382120853461856</v>
      </c>
      <c r="U66" s="319">
        <f t="shared" si="23"/>
        <v>1000000000</v>
      </c>
      <c r="V66" s="319">
        <f t="shared" si="24"/>
        <v>17379.148900000004</v>
      </c>
      <c r="X66" s="345">
        <f t="shared" si="17"/>
        <v>72.826980480115225</v>
      </c>
      <c r="Y66" s="346">
        <f t="shared" si="18"/>
        <v>-85.580424988489668</v>
      </c>
      <c r="AA66" s="345">
        <f t="shared" si="19"/>
        <v>60.684018035400513</v>
      </c>
      <c r="AB66" s="346">
        <f t="shared" si="20"/>
        <v>-18.03745415804848</v>
      </c>
      <c r="AD66">
        <f t="shared" si="25"/>
        <v>0</v>
      </c>
      <c r="AE66">
        <f t="shared" si="26"/>
        <v>0</v>
      </c>
    </row>
    <row r="67" spans="1:31" x14ac:dyDescent="0.2">
      <c r="A67" s="347">
        <v>144.54</v>
      </c>
      <c r="B67" s="364">
        <f t="shared" si="22"/>
        <v>0.14454</v>
      </c>
      <c r="C67" s="337">
        <f t="shared" si="0"/>
        <v>1.0618616774792402</v>
      </c>
      <c r="D67" s="338">
        <f t="shared" si="1"/>
        <v>0.34302294921505805</v>
      </c>
      <c r="E67" s="338">
        <f t="shared" si="2"/>
        <v>1.000000037114904</v>
      </c>
      <c r="F67" s="339">
        <f t="shared" si="3"/>
        <v>2.7245147423725976E-4</v>
      </c>
      <c r="G67" s="338">
        <f t="shared" si="4"/>
        <v>1</v>
      </c>
      <c r="H67" s="339">
        <f t="shared" si="5"/>
        <v>0</v>
      </c>
      <c r="I67" s="337">
        <f t="shared" si="6"/>
        <v>19.229081394670942</v>
      </c>
      <c r="J67" s="340">
        <f t="shared" si="7"/>
        <v>1.518768293073506</v>
      </c>
      <c r="K67" s="348">
        <f t="shared" si="8"/>
        <v>1.0002525814217247</v>
      </c>
      <c r="L67" s="349">
        <f t="shared" si="9"/>
        <v>2.2473462959772466E-2</v>
      </c>
      <c r="M67" s="337">
        <f t="shared" si="10"/>
        <v>1.0000000940131477</v>
      </c>
      <c r="N67" s="340">
        <f t="shared" si="11"/>
        <v>4.3361997282268091E-4</v>
      </c>
      <c r="O67" s="341">
        <f t="shared" si="12"/>
        <v>0.99999999513691307</v>
      </c>
      <c r="P67" s="342">
        <f t="shared" si="13"/>
        <v>1.7904594307246936E-4</v>
      </c>
      <c r="Q67" s="343">
        <f t="shared" si="14"/>
        <v>75.79811685487725</v>
      </c>
      <c r="R67" s="344">
        <f t="shared" si="15"/>
        <v>-105.4046389109934</v>
      </c>
      <c r="S67" s="346">
        <f t="shared" si="16"/>
        <v>74.595361089006602</v>
      </c>
      <c r="U67" s="319">
        <f t="shared" si="23"/>
        <v>1000000000</v>
      </c>
      <c r="V67" s="319">
        <f t="shared" si="24"/>
        <v>20891.811599999997</v>
      </c>
      <c r="X67" s="345">
        <f t="shared" si="17"/>
        <v>72.030246446146563</v>
      </c>
      <c r="Y67" s="346">
        <f t="shared" si="18"/>
        <v>-85.75622336510753</v>
      </c>
      <c r="AA67" s="345">
        <f t="shared" si="19"/>
        <v>60.600620566825697</v>
      </c>
      <c r="AB67" s="346">
        <f t="shared" si="20"/>
        <v>-19.648415545885864</v>
      </c>
      <c r="AD67">
        <f t="shared" si="25"/>
        <v>0</v>
      </c>
      <c r="AE67">
        <f t="shared" si="26"/>
        <v>0</v>
      </c>
    </row>
    <row r="68" spans="1:31" x14ac:dyDescent="0.2">
      <c r="A68" s="347">
        <v>158.49</v>
      </c>
      <c r="B68" s="364">
        <f t="shared" si="22"/>
        <v>0.15849000000000002</v>
      </c>
      <c r="C68" s="337">
        <f t="shared" si="0"/>
        <v>1.0739454604959029</v>
      </c>
      <c r="D68" s="338">
        <f t="shared" si="1"/>
        <v>0.37325326912399287</v>
      </c>
      <c r="E68" s="338">
        <f t="shared" si="2"/>
        <v>1.0000000446247679</v>
      </c>
      <c r="F68" s="339">
        <f t="shared" si="3"/>
        <v>2.9874660257143482E-4</v>
      </c>
      <c r="G68" s="338">
        <f t="shared" si="4"/>
        <v>1</v>
      </c>
      <c r="H68" s="339">
        <f t="shared" si="5"/>
        <v>0</v>
      </c>
      <c r="I68" s="337">
        <f t="shared" si="6"/>
        <v>21.080140408407956</v>
      </c>
      <c r="J68" s="340">
        <f t="shared" si="7"/>
        <v>1.5233405024121294</v>
      </c>
      <c r="K68" s="348">
        <f t="shared" si="8"/>
        <v>1.0003036812223816</v>
      </c>
      <c r="L68" s="349">
        <f t="shared" si="9"/>
        <v>2.4641606700368052E-2</v>
      </c>
      <c r="M68" s="337">
        <f t="shared" si="10"/>
        <v>1.000000113035854</v>
      </c>
      <c r="N68" s="340">
        <f t="shared" si="11"/>
        <v>4.754699641698978E-4</v>
      </c>
      <c r="O68" s="341">
        <f t="shared" si="12"/>
        <v>0.99999999415291163</v>
      </c>
      <c r="P68" s="342">
        <f t="shared" si="13"/>
        <v>1.9632621818290252E-4</v>
      </c>
      <c r="Q68" s="343">
        <f t="shared" si="14"/>
        <v>74.901975673697081</v>
      </c>
      <c r="R68" s="344">
        <f t="shared" si="15"/>
        <v>-107.27633278451819</v>
      </c>
      <c r="S68" s="346">
        <f t="shared" si="16"/>
        <v>72.723667215481811</v>
      </c>
      <c r="U68" s="319">
        <f t="shared" si="23"/>
        <v>1000000000</v>
      </c>
      <c r="V68" s="319">
        <f t="shared" si="24"/>
        <v>25119.080100000003</v>
      </c>
      <c r="X68" s="345">
        <f t="shared" si="17"/>
        <v>71.232390774887207</v>
      </c>
      <c r="Y68" s="346">
        <f t="shared" si="18"/>
        <v>-85.896364005584104</v>
      </c>
      <c r="AA68" s="345">
        <f t="shared" si="19"/>
        <v>60.502335056904883</v>
      </c>
      <c r="AB68" s="346">
        <f t="shared" si="20"/>
        <v>-21.379968778934074</v>
      </c>
      <c r="AD68">
        <f t="shared" si="25"/>
        <v>0</v>
      </c>
      <c r="AE68">
        <f t="shared" si="26"/>
        <v>0</v>
      </c>
    </row>
    <row r="69" spans="1:31" x14ac:dyDescent="0.2">
      <c r="A69" s="347">
        <v>173.78</v>
      </c>
      <c r="B69" s="364">
        <f t="shared" si="22"/>
        <v>0.17377999999999999</v>
      </c>
      <c r="C69" s="337">
        <f t="shared" si="0"/>
        <v>1.0882904639326225</v>
      </c>
      <c r="D69" s="338">
        <f t="shared" si="1"/>
        <v>0.40558348869572064</v>
      </c>
      <c r="E69" s="338">
        <f t="shared" si="2"/>
        <v>1.0000000536502591</v>
      </c>
      <c r="F69" s="339">
        <f t="shared" si="3"/>
        <v>3.2756757071414333E-4</v>
      </c>
      <c r="G69" s="338">
        <f t="shared" si="4"/>
        <v>1</v>
      </c>
      <c r="H69" s="339">
        <f t="shared" si="5"/>
        <v>0</v>
      </c>
      <c r="I69" s="337">
        <f t="shared" si="6"/>
        <v>23.109428457220453</v>
      </c>
      <c r="J69" s="340">
        <f t="shared" si="7"/>
        <v>1.5275104295136999</v>
      </c>
      <c r="K69" s="348">
        <f t="shared" si="8"/>
        <v>1.0003650904402148</v>
      </c>
      <c r="L69" s="349">
        <f t="shared" si="9"/>
        <v>2.7017749682413002E-2</v>
      </c>
      <c r="M69" s="337">
        <f t="shared" si="10"/>
        <v>1.0000001358976884</v>
      </c>
      <c r="N69" s="340">
        <f t="shared" si="11"/>
        <v>5.2133995276740371E-4</v>
      </c>
      <c r="O69" s="341">
        <f t="shared" si="12"/>
        <v>0.99999999297032094</v>
      </c>
      <c r="P69" s="342">
        <f t="shared" si="13"/>
        <v>2.1526639081645492E-4</v>
      </c>
      <c r="Q69" s="343">
        <f t="shared" si="14"/>
        <v>73.988942729459126</v>
      </c>
      <c r="R69" s="344">
        <f t="shared" si="15"/>
        <v>-109.23355620722434</v>
      </c>
      <c r="S69" s="346">
        <f t="shared" si="16"/>
        <v>70.766443792775661</v>
      </c>
      <c r="U69" s="319">
        <f t="shared" si="23"/>
        <v>1000000000</v>
      </c>
      <c r="V69" s="319">
        <f t="shared" si="24"/>
        <v>30199.488400000002</v>
      </c>
      <c r="X69" s="345">
        <f t="shared" si="17"/>
        <v>70.434609684107258</v>
      </c>
      <c r="Y69" s="346">
        <f t="shared" si="18"/>
        <v>-86.0017684218639</v>
      </c>
      <c r="AA69" s="345">
        <f t="shared" si="19"/>
        <v>60.387083203446878</v>
      </c>
      <c r="AB69" s="346">
        <f t="shared" si="20"/>
        <v>-23.231787785360439</v>
      </c>
      <c r="AD69">
        <f t="shared" si="25"/>
        <v>0</v>
      </c>
      <c r="AE69">
        <f t="shared" si="26"/>
        <v>0</v>
      </c>
    </row>
    <row r="70" spans="1:31" x14ac:dyDescent="0.2">
      <c r="A70" s="347">
        <v>190.55</v>
      </c>
      <c r="B70" s="364">
        <f t="shared" si="22"/>
        <v>0.19055000000000002</v>
      </c>
      <c r="C70" s="337">
        <f t="shared" si="0"/>
        <v>1.1052955349248486</v>
      </c>
      <c r="D70" s="338">
        <f t="shared" si="1"/>
        <v>0.44003817600786704</v>
      </c>
      <c r="E70" s="338">
        <f t="shared" si="2"/>
        <v>1.0000000645045191</v>
      </c>
      <c r="F70" s="339">
        <f t="shared" si="3"/>
        <v>3.5917827222875227E-4</v>
      </c>
      <c r="G70" s="338">
        <f t="shared" si="4"/>
        <v>1</v>
      </c>
      <c r="H70" s="339">
        <f t="shared" si="5"/>
        <v>0</v>
      </c>
      <c r="I70" s="337">
        <f t="shared" si="6"/>
        <v>25.335526486960234</v>
      </c>
      <c r="J70" s="340">
        <f t="shared" si="7"/>
        <v>1.5313158039391634</v>
      </c>
      <c r="K70" s="348">
        <f t="shared" si="8"/>
        <v>1.0004389375641098</v>
      </c>
      <c r="L70" s="349">
        <f t="shared" si="9"/>
        <v>2.9623540270198506E-2</v>
      </c>
      <c r="M70" s="337">
        <f t="shared" si="10"/>
        <v>1.0000001633918478</v>
      </c>
      <c r="N70" s="340">
        <f t="shared" si="11"/>
        <v>5.7164993773137381E-4</v>
      </c>
      <c r="O70" s="341">
        <f t="shared" si="12"/>
        <v>0.99999999154811037</v>
      </c>
      <c r="P70" s="342">
        <f t="shared" si="13"/>
        <v>2.3603988314251803E-4</v>
      </c>
      <c r="Q70" s="343">
        <f t="shared" si="14"/>
        <v>73.056097350171825</v>
      </c>
      <c r="R70" s="344">
        <f t="shared" si="15"/>
        <v>-111.2786570915188</v>
      </c>
      <c r="S70" s="346">
        <f t="shared" si="16"/>
        <v>68.721342908481205</v>
      </c>
      <c r="U70" s="319">
        <f t="shared" si="23"/>
        <v>1000000000</v>
      </c>
      <c r="V70" s="319">
        <f t="shared" si="24"/>
        <v>36309.302500000005</v>
      </c>
      <c r="X70" s="345">
        <f t="shared" si="17"/>
        <v>69.63643603593043</v>
      </c>
      <c r="Y70" s="346">
        <f t="shared" si="18"/>
        <v>-86.073382062822589</v>
      </c>
      <c r="AA70" s="345">
        <f t="shared" si="19"/>
        <v>60.252411472336419</v>
      </c>
      <c r="AB70" s="346">
        <f t="shared" si="20"/>
        <v>-25.205275028696207</v>
      </c>
      <c r="AD70">
        <f t="shared" si="25"/>
        <v>0</v>
      </c>
      <c r="AE70">
        <f t="shared" si="26"/>
        <v>0</v>
      </c>
    </row>
    <row r="71" spans="1:31" x14ac:dyDescent="0.2">
      <c r="A71" s="347">
        <v>208.93</v>
      </c>
      <c r="B71" s="364">
        <f t="shared" si="22"/>
        <v>0.20893</v>
      </c>
      <c r="C71" s="337">
        <f t="shared" si="0"/>
        <v>1.1253914154471472</v>
      </c>
      <c r="D71" s="338">
        <f t="shared" si="1"/>
        <v>0.47655664703815959</v>
      </c>
      <c r="E71" s="338">
        <f t="shared" si="2"/>
        <v>1.0000000775485784</v>
      </c>
      <c r="F71" s="339">
        <f t="shared" si="3"/>
        <v>3.9382375105838537E-4</v>
      </c>
      <c r="G71" s="338">
        <f t="shared" si="4"/>
        <v>1</v>
      </c>
      <c r="H71" s="339">
        <f t="shared" si="5"/>
        <v>0</v>
      </c>
      <c r="I71" s="337">
        <f t="shared" si="6"/>
        <v>27.775691158347584</v>
      </c>
      <c r="J71" s="340">
        <f t="shared" si="7"/>
        <v>1.5347858400401673</v>
      </c>
      <c r="K71" s="348">
        <f t="shared" si="8"/>
        <v>1.0005276758117303</v>
      </c>
      <c r="L71" s="349">
        <f t="shared" si="9"/>
        <v>3.2479035741896228E-2</v>
      </c>
      <c r="M71" s="337">
        <f t="shared" si="10"/>
        <v>1.0000001964328329</v>
      </c>
      <c r="N71" s="340">
        <f t="shared" si="11"/>
        <v>6.267899179185877E-4</v>
      </c>
      <c r="O71" s="341">
        <f t="shared" si="12"/>
        <v>0.9999999898389752</v>
      </c>
      <c r="P71" s="342">
        <f t="shared" si="13"/>
        <v>2.5880773005435524E-4</v>
      </c>
      <c r="Q71" s="343">
        <f t="shared" si="14"/>
        <v>72.101665122873456</v>
      </c>
      <c r="R71" s="344">
        <f t="shared" si="15"/>
        <v>-113.40870069262549</v>
      </c>
      <c r="S71" s="346">
        <f t="shared" si="16"/>
        <v>66.591299307374513</v>
      </c>
      <c r="U71" s="319">
        <f t="shared" si="23"/>
        <v>1000000000</v>
      </c>
      <c r="V71" s="319">
        <f t="shared" si="24"/>
        <v>43651.744900000005</v>
      </c>
      <c r="X71" s="345">
        <f t="shared" si="17"/>
        <v>68.838507328582196</v>
      </c>
      <c r="Y71" s="346">
        <f t="shared" si="18"/>
        <v>-86.111751935412158</v>
      </c>
      <c r="AA71" s="345">
        <f t="shared" si="19"/>
        <v>60.09590795238627</v>
      </c>
      <c r="AB71" s="346">
        <f t="shared" si="20"/>
        <v>-27.296948757213318</v>
      </c>
      <c r="AD71">
        <f t="shared" si="25"/>
        <v>0</v>
      </c>
      <c r="AE71">
        <f t="shared" si="26"/>
        <v>0</v>
      </c>
    </row>
    <row r="72" spans="1:31" x14ac:dyDescent="0.2">
      <c r="A72" s="347">
        <v>229.09</v>
      </c>
      <c r="B72" s="364">
        <f t="shared" si="22"/>
        <v>0.22909000000000002</v>
      </c>
      <c r="C72" s="337">
        <f t="shared" si="0"/>
        <v>1.1490945793739344</v>
      </c>
      <c r="D72" s="338">
        <f t="shared" si="1"/>
        <v>0.5150859516273355</v>
      </c>
      <c r="E72" s="338">
        <f t="shared" si="2"/>
        <v>1.0000000932361848</v>
      </c>
      <c r="F72" s="339">
        <f t="shared" si="3"/>
        <v>4.3182444927199063E-4</v>
      </c>
      <c r="G72" s="338">
        <f t="shared" si="4"/>
        <v>1</v>
      </c>
      <c r="H72" s="339">
        <f t="shared" si="5"/>
        <v>0</v>
      </c>
      <c r="I72" s="337">
        <f t="shared" si="6"/>
        <v>30.452492083821799</v>
      </c>
      <c r="J72" s="340">
        <f t="shared" si="7"/>
        <v>1.5379523872161422</v>
      </c>
      <c r="K72" s="348">
        <f t="shared" si="8"/>
        <v>1.0006343875881549</v>
      </c>
      <c r="L72" s="349">
        <f t="shared" si="9"/>
        <v>3.5610459042167988E-2</v>
      </c>
      <c r="M72" s="337">
        <f t="shared" si="10"/>
        <v>1.0000002361699984</v>
      </c>
      <c r="N72" s="340">
        <f t="shared" si="11"/>
        <v>6.8726989179164792E-4</v>
      </c>
      <c r="O72" s="341">
        <f t="shared" si="12"/>
        <v>0.99999998778346166</v>
      </c>
      <c r="P72" s="342">
        <f t="shared" si="13"/>
        <v>2.8378051564600953E-4</v>
      </c>
      <c r="Q72" s="343">
        <f t="shared" si="14"/>
        <v>71.122388432801031</v>
      </c>
      <c r="R72" s="344">
        <f t="shared" si="15"/>
        <v>-115.62099848836402</v>
      </c>
      <c r="S72" s="346">
        <f t="shared" si="16"/>
        <v>64.379001511635977</v>
      </c>
      <c r="U72" s="319">
        <f t="shared" si="23"/>
        <v>1000000000</v>
      </c>
      <c r="V72" s="319">
        <f t="shared" si="24"/>
        <v>52482.2281</v>
      </c>
      <c r="X72" s="345">
        <f t="shared" si="17"/>
        <v>68.040274043372222</v>
      </c>
      <c r="Y72" s="346">
        <f t="shared" si="18"/>
        <v>-86.117229632504348</v>
      </c>
      <c r="AA72" s="345">
        <f t="shared" si="19"/>
        <v>59.914864547523806</v>
      </c>
      <c r="AB72" s="346">
        <f t="shared" si="20"/>
        <v>-29.503768855859686</v>
      </c>
      <c r="AD72">
        <f t="shared" si="25"/>
        <v>0</v>
      </c>
      <c r="AE72">
        <f t="shared" si="26"/>
        <v>0</v>
      </c>
    </row>
    <row r="73" spans="1:31" x14ac:dyDescent="0.2">
      <c r="A73" s="347">
        <v>251.19</v>
      </c>
      <c r="B73" s="364">
        <f t="shared" si="22"/>
        <v>0.25119000000000002</v>
      </c>
      <c r="C73" s="337">
        <f t="shared" si="0"/>
        <v>1.176954065475424</v>
      </c>
      <c r="D73" s="338">
        <f t="shared" si="1"/>
        <v>0.55547351169026515</v>
      </c>
      <c r="E73" s="338">
        <f t="shared" si="2"/>
        <v>1.0000001120925934</v>
      </c>
      <c r="F73" s="339">
        <f t="shared" si="3"/>
        <v>4.7348195926955299E-4</v>
      </c>
      <c r="G73" s="338">
        <f t="shared" si="4"/>
        <v>1</v>
      </c>
      <c r="H73" s="339">
        <f t="shared" si="5"/>
        <v>0</v>
      </c>
      <c r="I73" s="337">
        <f t="shared" si="6"/>
        <v>33.387173859106788</v>
      </c>
      <c r="J73" s="340">
        <f t="shared" si="7"/>
        <v>1.5408402250529911</v>
      </c>
      <c r="K73" s="348">
        <f t="shared" si="8"/>
        <v>1.0007626394467679</v>
      </c>
      <c r="L73" s="349">
        <f t="shared" si="9"/>
        <v>3.904241487267051E-2</v>
      </c>
      <c r="M73" s="337">
        <f t="shared" si="10"/>
        <v>1.000000283933832</v>
      </c>
      <c r="N73" s="340">
        <f t="shared" si="11"/>
        <v>7.5356985735734977E-4</v>
      </c>
      <c r="O73" s="341">
        <f t="shared" si="12"/>
        <v>0.99999998531274692</v>
      </c>
      <c r="P73" s="342">
        <f t="shared" si="13"/>
        <v>3.1115643674860222E-4</v>
      </c>
      <c r="Q73" s="343">
        <f t="shared" si="14"/>
        <v>70.116290264351832</v>
      </c>
      <c r="R73" s="344">
        <f t="shared" si="15"/>
        <v>-117.90683999625982</v>
      </c>
      <c r="S73" s="346">
        <f t="shared" si="16"/>
        <v>62.093160003740181</v>
      </c>
      <c r="U73" s="319">
        <f t="shared" si="23"/>
        <v>1000000000</v>
      </c>
      <c r="V73" s="319">
        <f t="shared" si="24"/>
        <v>63096.416100000002</v>
      </c>
      <c r="X73" s="345">
        <f t="shared" si="17"/>
        <v>67.242250438489407</v>
      </c>
      <c r="Y73" s="346">
        <f t="shared" si="18"/>
        <v>-86.089852676088356</v>
      </c>
      <c r="AA73" s="345">
        <f t="shared" si="19"/>
        <v>59.706789983957435</v>
      </c>
      <c r="AB73" s="346">
        <f t="shared" si="20"/>
        <v>-31.816987320171489</v>
      </c>
      <c r="AD73">
        <f t="shared" si="25"/>
        <v>0</v>
      </c>
      <c r="AE73">
        <f t="shared" si="26"/>
        <v>0</v>
      </c>
    </row>
    <row r="74" spans="1:31" x14ac:dyDescent="0.2">
      <c r="A74" s="347">
        <v>275.42</v>
      </c>
      <c r="B74" s="364">
        <f t="shared" si="22"/>
        <v>0.27542</v>
      </c>
      <c r="C74" s="337">
        <f t="shared" si="0"/>
        <v>1.2095960886469002</v>
      </c>
      <c r="D74" s="338">
        <f t="shared" si="1"/>
        <v>0.59753979860278661</v>
      </c>
      <c r="E74" s="338">
        <f t="shared" si="2"/>
        <v>1.0000001347606722</v>
      </c>
      <c r="F74" s="339">
        <f t="shared" si="3"/>
        <v>5.1915442195673439E-4</v>
      </c>
      <c r="G74" s="338">
        <f t="shared" si="4"/>
        <v>1</v>
      </c>
      <c r="H74" s="339">
        <f t="shared" si="5"/>
        <v>0</v>
      </c>
      <c r="I74" s="337">
        <f t="shared" si="6"/>
        <v>36.604966730997909</v>
      </c>
      <c r="J74" s="340">
        <f t="shared" si="7"/>
        <v>1.5434742304699893</v>
      </c>
      <c r="K74" s="348">
        <f t="shared" si="8"/>
        <v>1.0009167946297617</v>
      </c>
      <c r="L74" s="349">
        <f t="shared" si="9"/>
        <v>4.2804082756122262E-2</v>
      </c>
      <c r="M74" s="337">
        <f t="shared" si="10"/>
        <v>1.0000003413527356</v>
      </c>
      <c r="N74" s="340">
        <f t="shared" si="11"/>
        <v>8.2625981196930405E-4</v>
      </c>
      <c r="O74" s="341">
        <f t="shared" si="12"/>
        <v>0.99999998234259713</v>
      </c>
      <c r="P74" s="342">
        <f t="shared" si="13"/>
        <v>3.4117085211788029E-4</v>
      </c>
      <c r="Q74" s="343">
        <f t="shared" si="14"/>
        <v>69.080803475096701</v>
      </c>
      <c r="R74" s="344">
        <f t="shared" si="15"/>
        <v>-120.25571808636015</v>
      </c>
      <c r="S74" s="346">
        <f t="shared" si="16"/>
        <v>59.744281913639853</v>
      </c>
      <c r="U74" s="319">
        <f t="shared" si="23"/>
        <v>1000000000</v>
      </c>
      <c r="V74" s="319">
        <f t="shared" si="24"/>
        <v>75856.176400000011</v>
      </c>
      <c r="X74" s="345">
        <f t="shared" si="17"/>
        <v>66.444380635099407</v>
      </c>
      <c r="Y74" s="346">
        <f t="shared" si="18"/>
        <v>-86.029407203588448</v>
      </c>
      <c r="AA74" s="345">
        <f t="shared" si="19"/>
        <v>59.469172998092304</v>
      </c>
      <c r="AB74" s="346">
        <f t="shared" si="20"/>
        <v>-34.226310882771706</v>
      </c>
      <c r="AD74">
        <f t="shared" si="25"/>
        <v>0</v>
      </c>
      <c r="AE74">
        <f t="shared" si="26"/>
        <v>0</v>
      </c>
    </row>
    <row r="75" spans="1:31" x14ac:dyDescent="0.2">
      <c r="A75" s="347">
        <v>302</v>
      </c>
      <c r="B75" s="364">
        <f t="shared" si="22"/>
        <v>0.30199999999999999</v>
      </c>
      <c r="C75" s="337">
        <f t="shared" si="0"/>
        <v>1.2477280782208069</v>
      </c>
      <c r="D75" s="338">
        <f t="shared" si="1"/>
        <v>0.64106936831650019</v>
      </c>
      <c r="E75" s="338">
        <f t="shared" si="2"/>
        <v>1.0000001620265184</v>
      </c>
      <c r="F75" s="339">
        <f t="shared" si="3"/>
        <v>5.6925652669023155E-4</v>
      </c>
      <c r="G75" s="338">
        <f t="shared" si="4"/>
        <v>1</v>
      </c>
      <c r="H75" s="339">
        <f t="shared" si="5"/>
        <v>0</v>
      </c>
      <c r="I75" s="337">
        <f t="shared" si="6"/>
        <v>40.135087337761156</v>
      </c>
      <c r="J75" s="340">
        <f t="shared" si="7"/>
        <v>1.5458778935264297</v>
      </c>
      <c r="K75" s="348">
        <f t="shared" si="8"/>
        <v>1.0011021856740259</v>
      </c>
      <c r="L75" s="349">
        <f t="shared" si="9"/>
        <v>4.6929186672517574E-2</v>
      </c>
      <c r="M75" s="337">
        <f t="shared" si="10"/>
        <v>1.0000004104179159</v>
      </c>
      <c r="N75" s="340">
        <f t="shared" si="11"/>
        <v>9.0599975210765003E-4</v>
      </c>
      <c r="O75" s="341">
        <f t="shared" si="12"/>
        <v>0.9999999787700119</v>
      </c>
      <c r="P75" s="342">
        <f t="shared" si="13"/>
        <v>3.7409628244902774E-4</v>
      </c>
      <c r="Q75" s="343">
        <f t="shared" si="14"/>
        <v>68.013136397036064</v>
      </c>
      <c r="R75" s="344">
        <f t="shared" si="15"/>
        <v>-122.65473203284016</v>
      </c>
      <c r="S75" s="346">
        <f t="shared" si="16"/>
        <v>57.345267967159842</v>
      </c>
      <c r="U75" s="319">
        <f t="shared" si="23"/>
        <v>1000000000</v>
      </c>
      <c r="V75" s="319">
        <f t="shared" si="24"/>
        <v>91204</v>
      </c>
      <c r="X75" s="345">
        <f t="shared" si="17"/>
        <v>65.646304779320957</v>
      </c>
      <c r="Y75" s="346">
        <f t="shared" si="18"/>
        <v>-85.93534466955272</v>
      </c>
      <c r="AA75" s="345">
        <f t="shared" si="19"/>
        <v>59.199581775810103</v>
      </c>
      <c r="AB75" s="346">
        <f t="shared" si="20"/>
        <v>-36.719387363287403</v>
      </c>
      <c r="AD75">
        <f t="shared" si="25"/>
        <v>0</v>
      </c>
      <c r="AE75">
        <f t="shared" si="26"/>
        <v>0</v>
      </c>
    </row>
    <row r="76" spans="1:31" x14ac:dyDescent="0.2">
      <c r="A76" s="347">
        <v>331.13</v>
      </c>
      <c r="B76" s="364">
        <f t="shared" si="22"/>
        <v>0.33112999999999998</v>
      </c>
      <c r="C76" s="337">
        <f t="shared" si="0"/>
        <v>1.2920624537529759</v>
      </c>
      <c r="D76" s="338">
        <f t="shared" si="1"/>
        <v>0.68573093736952917</v>
      </c>
      <c r="E76" s="338">
        <f t="shared" si="2"/>
        <v>1.0000001947911696</v>
      </c>
      <c r="F76" s="339">
        <f t="shared" si="3"/>
        <v>6.2416526346211268E-4</v>
      </c>
      <c r="G76" s="338">
        <f t="shared" si="4"/>
        <v>1</v>
      </c>
      <c r="H76" s="339">
        <f t="shared" si="5"/>
        <v>0</v>
      </c>
      <c r="I76" s="337">
        <f t="shared" si="6"/>
        <v>44.00409794038886</v>
      </c>
      <c r="J76" s="340">
        <f t="shared" si="7"/>
        <v>1.548069214118152</v>
      </c>
      <c r="K76" s="348">
        <f t="shared" si="8"/>
        <v>1.0013249198214675</v>
      </c>
      <c r="L76" s="349">
        <f t="shared" si="9"/>
        <v>5.144819976778791E-2</v>
      </c>
      <c r="M76" s="337">
        <f t="shared" si="10"/>
        <v>1.0000004934117244</v>
      </c>
      <c r="N76" s="340">
        <f t="shared" si="11"/>
        <v>9.9338967323326418E-4</v>
      </c>
      <c r="O76" s="341">
        <f t="shared" si="12"/>
        <v>0.99999997447693045</v>
      </c>
      <c r="P76" s="342">
        <f t="shared" si="13"/>
        <v>4.1018047391862424E-4</v>
      </c>
      <c r="Q76" s="343">
        <f t="shared" si="14"/>
        <v>66.91241893039971</v>
      </c>
      <c r="R76" s="344">
        <f t="shared" si="15"/>
        <v>-125.08421299898474</v>
      </c>
      <c r="S76" s="346">
        <f t="shared" si="16"/>
        <v>54.915787001015261</v>
      </c>
      <c r="U76" s="319">
        <f t="shared" si="23"/>
        <v>1000000000</v>
      </c>
      <c r="V76" s="319">
        <f t="shared" si="24"/>
        <v>109647.0769</v>
      </c>
      <c r="X76" s="345">
        <f t="shared" si="17"/>
        <v>64.848858152864409</v>
      </c>
      <c r="Y76" s="346">
        <f t="shared" si="18"/>
        <v>-85.806984786600992</v>
      </c>
      <c r="AA76" s="345">
        <f t="shared" si="19"/>
        <v>58.896310935630311</v>
      </c>
      <c r="AB76" s="346">
        <f t="shared" si="20"/>
        <v>-39.277228212383747</v>
      </c>
      <c r="AD76">
        <f t="shared" si="25"/>
        <v>0</v>
      </c>
      <c r="AE76">
        <f t="shared" si="26"/>
        <v>0</v>
      </c>
    </row>
    <row r="77" spans="1:31" x14ac:dyDescent="0.2">
      <c r="A77" s="347">
        <v>363.08</v>
      </c>
      <c r="B77" s="364">
        <f t="shared" si="22"/>
        <v>0.36307999999999996</v>
      </c>
      <c r="C77" s="337">
        <f t="shared" ref="C77:C140" si="27">SQRT(1+(A77/pole1)^2)</f>
        <v>1.3434434885391868</v>
      </c>
      <c r="D77" s="338">
        <f t="shared" ref="D77:D140" si="28">ATAN(A77/pole1)</f>
        <v>0.73122663660999376</v>
      </c>
      <c r="E77" s="338">
        <f t="shared" ref="E77:E140" si="29">SQRT(1+(A77/Zero1)^2)</f>
        <v>1.0000002341945866</v>
      </c>
      <c r="F77" s="339">
        <f t="shared" ref="F77:F140" si="30">ATAN(A77/Zero1)</f>
        <v>6.8438956876364608E-4</v>
      </c>
      <c r="G77" s="338">
        <f t="shared" ref="G77:G140" si="31">IF(VIN_nom&gt;Vout, 1, SQRT(1+(A77/z_RHP)^2))</f>
        <v>1</v>
      </c>
      <c r="H77" s="339">
        <f t="shared" ref="H77:H140" si="32">IF(VIN_nom&gt;Vout, 0, -ATAN(A77/z_RHP))</f>
        <v>0</v>
      </c>
      <c r="I77" s="337">
        <f t="shared" ref="I77:I140" si="33">SQRT(1+(A77/Pole2)^2)</f>
        <v>48.247859578899956</v>
      </c>
      <c r="J77" s="340">
        <f t="shared" ref="J77:J140" si="34">ATAN(A77/Pole2)</f>
        <v>1.5500685345319181</v>
      </c>
      <c r="K77" s="348">
        <f t="shared" ref="K77:K140" si="35">SQRT(1+(A77/Zero2)^2)</f>
        <v>1.0015927187153955</v>
      </c>
      <c r="L77" s="349">
        <f t="shared" ref="L77:L140" si="36">ATAN(A77/Zero2)</f>
        <v>5.6402262787734886E-2</v>
      </c>
      <c r="M77" s="337">
        <f t="shared" ref="M77:M140" si="37">SQRT(1+(A77/pole4)^2)</f>
        <v>1.0000005932217129</v>
      </c>
      <c r="N77" s="340">
        <f t="shared" ref="N77:N140" si="38">ATAN(A77/pole4)</f>
        <v>1.0892395692262997E-3</v>
      </c>
      <c r="O77" s="341">
        <f t="shared" ref="O77:O140" si="39">SQRT((1-(V77/pterm2))^2+(A77/pterm1)^2)</f>
        <v>0.99999996931398594</v>
      </c>
      <c r="P77" s="342">
        <f t="shared" ref="P77:P140" si="40">IF((ATAN((A77/pterm1)/(1-A77^2/pterm2))&gt;0),ATAN((A77/pterm1)/(1-A77^2/pterm2)),PI()+ATAN((A77/pterm1)/(1-A77^2/pterm2)))</f>
        <v>4.4975788386451609E-4</v>
      </c>
      <c r="Q77" s="343">
        <f t="shared" ref="Q77:Q140" si="41">20*LOG10(((E77*K77*G77)/(C77*I77*O77*M77))*Adc)</f>
        <v>65.776324630900945</v>
      </c>
      <c r="R77" s="344">
        <f t="shared" ref="R77:R140" si="42">((F77+L77+H77)-(D77+J77+P77+N77))*radconv</f>
        <v>-127.52593908791157</v>
      </c>
      <c r="S77" s="346">
        <f t="shared" ref="S77:S140" si="43">IF(R77&gt;0,R77,R77+180)</f>
        <v>52.474060912088433</v>
      </c>
      <c r="U77" s="319">
        <f t="shared" si="23"/>
        <v>1000000000</v>
      </c>
      <c r="V77" s="319">
        <f t="shared" si="24"/>
        <v>131827.0864</v>
      </c>
      <c r="X77" s="345">
        <f t="shared" ref="X77:X140" si="44">20*LOG10((K77/(I77*M77))*AEA)</f>
        <v>64.051481391879776</v>
      </c>
      <c r="Y77" s="346">
        <f t="shared" ref="Y77:Y140" si="45">(L77-(J77+N77))*radconv</f>
        <v>-85.643182300039328</v>
      </c>
      <c r="AA77" s="345">
        <f t="shared" ref="AA77:AA140" si="46">20*LOG10((E77*G77/(C77*O77))*Acs*Am)</f>
        <v>58.557593397116179</v>
      </c>
      <c r="AB77" s="346">
        <f t="shared" ref="AB77:AB140" si="47">(F77+H77-(D77+P77))*radconv</f>
        <v>-41.882756787872232</v>
      </c>
      <c r="AD77">
        <f t="shared" si="25"/>
        <v>0</v>
      </c>
      <c r="AE77">
        <f t="shared" ref="AE77:AE89" si="48">IF(AD77&gt;0,S75,0)</f>
        <v>0</v>
      </c>
    </row>
    <row r="78" spans="1:31" x14ac:dyDescent="0.2">
      <c r="A78" s="347">
        <v>398.11</v>
      </c>
      <c r="B78" s="364">
        <f t="shared" ref="B78:B141" si="49">A78/1000</f>
        <v>0.39811000000000002</v>
      </c>
      <c r="C78" s="337">
        <f t="shared" si="27"/>
        <v>1.4027239153710882</v>
      </c>
      <c r="D78" s="338">
        <f t="shared" si="28"/>
        <v>0.77717329265095081</v>
      </c>
      <c r="E78" s="338">
        <f t="shared" si="29"/>
        <v>1.0000002815648008</v>
      </c>
      <c r="F78" s="339">
        <f t="shared" si="30"/>
        <v>7.5041952907375117E-4</v>
      </c>
      <c r="G78" s="338">
        <f t="shared" si="31"/>
        <v>1</v>
      </c>
      <c r="H78" s="339">
        <f t="shared" si="32"/>
        <v>0</v>
      </c>
      <c r="I78" s="337">
        <f t="shared" si="33"/>
        <v>52.900906864495788</v>
      </c>
      <c r="J78" s="340">
        <f t="shared" si="34"/>
        <v>1.5518919331948395</v>
      </c>
      <c r="K78" s="348">
        <f t="shared" si="35"/>
        <v>1.0019145679105967</v>
      </c>
      <c r="L78" s="349">
        <f t="shared" si="36"/>
        <v>6.1830708405376369E-2</v>
      </c>
      <c r="M78" s="337">
        <f t="shared" si="37"/>
        <v>1.00000071321182</v>
      </c>
      <c r="N78" s="340">
        <f t="shared" si="38"/>
        <v>1.194329432126768E-3</v>
      </c>
      <c r="O78" s="341">
        <f t="shared" si="39"/>
        <v>0.99999996310716943</v>
      </c>
      <c r="P78" s="342">
        <f t="shared" si="40"/>
        <v>4.9315058245470863E-4</v>
      </c>
      <c r="Q78" s="343">
        <f t="shared" si="41"/>
        <v>64.604357420480881</v>
      </c>
      <c r="R78" s="344">
        <f t="shared" si="42"/>
        <v>-129.95665877518076</v>
      </c>
      <c r="S78" s="346">
        <f t="shared" si="43"/>
        <v>50.043341224819244</v>
      </c>
      <c r="U78" s="319">
        <f t="shared" ref="U78:U141" si="50">IF(Q78&lt;0,A78,1000000000)</f>
        <v>1000000000</v>
      </c>
      <c r="V78" s="319">
        <f t="shared" ref="V78:V141" si="51">A78^2</f>
        <v>158491.57210000002</v>
      </c>
      <c r="X78" s="345">
        <f t="shared" si="44"/>
        <v>63.254569690649902</v>
      </c>
      <c r="Y78" s="346">
        <f t="shared" si="45"/>
        <v>-85.442649529972059</v>
      </c>
      <c r="AA78" s="345">
        <f t="shared" si="46"/>
        <v>58.182537887925989</v>
      </c>
      <c r="AB78" s="346">
        <f t="shared" si="47"/>
        <v>-44.514009245208698</v>
      </c>
      <c r="AD78">
        <f t="shared" ref="AD78:AD141" si="52">SUM((Q79&lt;0)*(Q78&gt;0))*A78</f>
        <v>0</v>
      </c>
      <c r="AE78">
        <f t="shared" si="48"/>
        <v>0</v>
      </c>
    </row>
    <row r="79" spans="1:31" x14ac:dyDescent="0.2">
      <c r="A79" s="347">
        <v>436.52</v>
      </c>
      <c r="B79" s="364">
        <f t="shared" si="49"/>
        <v>0.43651999999999996</v>
      </c>
      <c r="C79" s="337">
        <f t="shared" si="27"/>
        <v>1.4708358448433194</v>
      </c>
      <c r="D79" s="338">
        <f t="shared" si="28"/>
        <v>0.82318980943424924</v>
      </c>
      <c r="E79" s="338">
        <f t="shared" si="29"/>
        <v>1.0000003385169887</v>
      </c>
      <c r="F79" s="339">
        <f t="shared" si="30"/>
        <v>8.228206284542944E-4</v>
      </c>
      <c r="G79" s="338">
        <f t="shared" si="31"/>
        <v>1</v>
      </c>
      <c r="H79" s="339">
        <f t="shared" si="32"/>
        <v>0</v>
      </c>
      <c r="I79" s="337">
        <f t="shared" si="33"/>
        <v>58.00308890432018</v>
      </c>
      <c r="J79" s="340">
        <f t="shared" si="34"/>
        <v>1.5535550114712662</v>
      </c>
      <c r="K79" s="348">
        <f t="shared" si="35"/>
        <v>1.0023013834620753</v>
      </c>
      <c r="L79" s="349">
        <f t="shared" si="36"/>
        <v>6.7778735223620795E-2</v>
      </c>
      <c r="M79" s="337">
        <f t="shared" si="37"/>
        <v>1.0000008574733292</v>
      </c>
      <c r="N79" s="340">
        <f t="shared" si="38"/>
        <v>1.3095592513919338E-3</v>
      </c>
      <c r="O79" s="341">
        <f t="shared" si="39"/>
        <v>0.99999995564484823</v>
      </c>
      <c r="P79" s="342">
        <f t="shared" si="40"/>
        <v>5.4073018920514158E-4</v>
      </c>
      <c r="Q79" s="343">
        <f t="shared" si="41"/>
        <v>63.396109318905431</v>
      </c>
      <c r="R79" s="344">
        <f t="shared" si="42"/>
        <v>-132.3528815261669</v>
      </c>
      <c r="S79" s="346">
        <f t="shared" si="43"/>
        <v>47.647118473833103</v>
      </c>
      <c r="U79" s="319">
        <f t="shared" si="50"/>
        <v>1000000000</v>
      </c>
      <c r="V79" s="319">
        <f t="shared" si="51"/>
        <v>190549.71039999998</v>
      </c>
      <c r="X79" s="345">
        <f t="shared" si="44"/>
        <v>62.458161105772319</v>
      </c>
      <c r="Y79" s="346">
        <f t="shared" si="45"/>
        <v>-85.20374224514012</v>
      </c>
      <c r="AA79" s="345">
        <f t="shared" si="46"/>
        <v>57.770698371228121</v>
      </c>
      <c r="AB79" s="346">
        <f t="shared" si="47"/>
        <v>-47.149139281026777</v>
      </c>
      <c r="AD79">
        <f t="shared" si="52"/>
        <v>0</v>
      </c>
      <c r="AE79">
        <f t="shared" si="48"/>
        <v>0</v>
      </c>
    </row>
    <row r="80" spans="1:31" x14ac:dyDescent="0.2">
      <c r="A80" s="347">
        <v>478.63</v>
      </c>
      <c r="B80" s="364">
        <f t="shared" si="49"/>
        <v>0.47863</v>
      </c>
      <c r="C80" s="337">
        <f t="shared" si="27"/>
        <v>1.5487533050208893</v>
      </c>
      <c r="D80" s="338">
        <f t="shared" si="28"/>
        <v>0.86888205249416384</v>
      </c>
      <c r="E80" s="338">
        <f t="shared" si="29"/>
        <v>1.0000004069789936</v>
      </c>
      <c r="F80" s="339">
        <f t="shared" si="30"/>
        <v>9.021960492584765E-4</v>
      </c>
      <c r="G80" s="338">
        <f t="shared" si="31"/>
        <v>1</v>
      </c>
      <c r="H80" s="339">
        <f t="shared" si="32"/>
        <v>0</v>
      </c>
      <c r="I80" s="337">
        <f t="shared" si="33"/>
        <v>63.596912797665411</v>
      </c>
      <c r="J80" s="340">
        <f t="shared" si="34"/>
        <v>1.5550716450747888</v>
      </c>
      <c r="K80" s="348">
        <f t="shared" si="35"/>
        <v>1.0027661754759869</v>
      </c>
      <c r="L80" s="349">
        <f t="shared" si="36"/>
        <v>7.4294199669315858E-2</v>
      </c>
      <c r="M80" s="337">
        <f t="shared" si="37"/>
        <v>1.0000010308895146</v>
      </c>
      <c r="N80" s="340">
        <f t="shared" si="38"/>
        <v>1.435889013171415E-3</v>
      </c>
      <c r="O80" s="341">
        <f t="shared" si="39"/>
        <v>0.99999994667442171</v>
      </c>
      <c r="P80" s="342">
        <f t="shared" si="40"/>
        <v>5.9289309844129303E-4</v>
      </c>
      <c r="Q80" s="343">
        <f t="shared" si="41"/>
        <v>62.152076357240219</v>
      </c>
      <c r="R80" s="344">
        <f t="shared" si="42"/>
        <v>-134.69012130301437</v>
      </c>
      <c r="S80" s="346">
        <f t="shared" si="43"/>
        <v>45.309878696985635</v>
      </c>
      <c r="U80" s="319">
        <f t="shared" si="50"/>
        <v>1000000000</v>
      </c>
      <c r="V80" s="319">
        <f t="shared" si="51"/>
        <v>229086.67689999999</v>
      </c>
      <c r="X80" s="345">
        <f t="shared" si="44"/>
        <v>61.662488289788996</v>
      </c>
      <c r="Y80" s="346">
        <f t="shared" si="45"/>
        <v>-84.924568497241665</v>
      </c>
      <c r="AA80" s="345">
        <f t="shared" si="46"/>
        <v>57.322338225546233</v>
      </c>
      <c r="AB80" s="346">
        <f t="shared" si="47"/>
        <v>-49.765552805772693</v>
      </c>
      <c r="AD80">
        <f t="shared" si="52"/>
        <v>0</v>
      </c>
      <c r="AE80">
        <f t="shared" si="48"/>
        <v>0</v>
      </c>
    </row>
    <row r="81" spans="1:31" x14ac:dyDescent="0.2">
      <c r="A81" s="347">
        <v>524.80999999999995</v>
      </c>
      <c r="B81" s="364">
        <f t="shared" si="49"/>
        <v>0.52481</v>
      </c>
      <c r="C81" s="337">
        <f t="shared" si="27"/>
        <v>1.6375433445539513</v>
      </c>
      <c r="D81" s="338">
        <f t="shared" si="28"/>
        <v>0.91388884527678194</v>
      </c>
      <c r="E81" s="338">
        <f t="shared" si="29"/>
        <v>1.0000004893012742</v>
      </c>
      <c r="F81" s="339">
        <f t="shared" si="30"/>
        <v>9.8924322049592632E-4</v>
      </c>
      <c r="G81" s="338">
        <f t="shared" si="31"/>
        <v>1</v>
      </c>
      <c r="H81" s="339">
        <f t="shared" si="32"/>
        <v>0</v>
      </c>
      <c r="I81" s="337">
        <f t="shared" si="33"/>
        <v>69.731528759076241</v>
      </c>
      <c r="J81" s="340">
        <f t="shared" si="34"/>
        <v>1.5564551199263834</v>
      </c>
      <c r="K81" s="348">
        <f t="shared" si="35"/>
        <v>1.0033247805292402</v>
      </c>
      <c r="L81" s="349">
        <f t="shared" si="36"/>
        <v>8.1432116322903925E-2</v>
      </c>
      <c r="M81" s="337">
        <f t="shared" si="37"/>
        <v>1.0000012394141444</v>
      </c>
      <c r="N81" s="340">
        <f t="shared" si="38"/>
        <v>1.5744286990872541E-3</v>
      </c>
      <c r="O81" s="341">
        <f t="shared" si="39"/>
        <v>0.99999993588791447</v>
      </c>
      <c r="P81" s="342">
        <f t="shared" si="40"/>
        <v>6.5009764126091165E-4</v>
      </c>
      <c r="Q81" s="343">
        <f t="shared" si="41"/>
        <v>60.872838393323043</v>
      </c>
      <c r="R81" s="344">
        <f t="shared" si="42"/>
        <v>-136.94534323538741</v>
      </c>
      <c r="S81" s="346">
        <f t="shared" si="43"/>
        <v>43.054656764612588</v>
      </c>
      <c r="U81" s="319">
        <f t="shared" si="50"/>
        <v>1000000000</v>
      </c>
      <c r="V81" s="319">
        <f t="shared" si="51"/>
        <v>275425.53609999997</v>
      </c>
      <c r="X81" s="345">
        <f t="shared" si="44"/>
        <v>60.867460679208882</v>
      </c>
      <c r="Y81" s="346">
        <f t="shared" si="45"/>
        <v>-84.602801007464151</v>
      </c>
      <c r="AA81" s="345">
        <f t="shared" si="46"/>
        <v>56.838127872209164</v>
      </c>
      <c r="AB81" s="346">
        <f t="shared" si="47"/>
        <v>-52.342542227923289</v>
      </c>
      <c r="AD81">
        <f t="shared" si="52"/>
        <v>0</v>
      </c>
      <c r="AE81">
        <f t="shared" si="48"/>
        <v>0</v>
      </c>
    </row>
    <row r="82" spans="1:31" x14ac:dyDescent="0.2">
      <c r="A82" s="347">
        <v>575.44000000000005</v>
      </c>
      <c r="B82" s="364">
        <f t="shared" si="49"/>
        <v>0.57544000000000006</v>
      </c>
      <c r="C82" s="337">
        <f t="shared" si="27"/>
        <v>1.738288375236696</v>
      </c>
      <c r="D82" s="338">
        <f t="shared" si="28"/>
        <v>0.95785168742030469</v>
      </c>
      <c r="E82" s="338">
        <f t="shared" si="29"/>
        <v>1.0000005882639251</v>
      </c>
      <c r="F82" s="339">
        <f t="shared" si="30"/>
        <v>1.084678419324819E-3</v>
      </c>
      <c r="G82" s="338">
        <f t="shared" si="31"/>
        <v>1</v>
      </c>
      <c r="H82" s="339">
        <f t="shared" si="32"/>
        <v>0</v>
      </c>
      <c r="I82" s="337">
        <f t="shared" si="33"/>
        <v>76.457416539893131</v>
      </c>
      <c r="J82" s="340">
        <f t="shared" si="34"/>
        <v>1.5577167779655137</v>
      </c>
      <c r="K82" s="348">
        <f t="shared" si="35"/>
        <v>1.0039958889532954</v>
      </c>
      <c r="L82" s="349">
        <f t="shared" si="36"/>
        <v>8.9248285434715247E-2</v>
      </c>
      <c r="M82" s="337">
        <f t="shared" si="37"/>
        <v>1.0000014900892611</v>
      </c>
      <c r="N82" s="340">
        <f t="shared" si="38"/>
        <v>1.7263182850878599E-3</v>
      </c>
      <c r="O82" s="341">
        <f t="shared" si="39"/>
        <v>0.99999992292105777</v>
      </c>
      <c r="P82" s="342">
        <f t="shared" si="40"/>
        <v>7.1281453643680143E-4</v>
      </c>
      <c r="Q82" s="343">
        <f t="shared" si="41"/>
        <v>59.560256016461324</v>
      </c>
      <c r="R82" s="344">
        <f t="shared" si="42"/>
        <v>-139.09551073834936</v>
      </c>
      <c r="S82" s="346">
        <f t="shared" si="43"/>
        <v>40.904489261650639</v>
      </c>
      <c r="U82" s="319">
        <f t="shared" si="50"/>
        <v>1000000000</v>
      </c>
      <c r="V82" s="319">
        <f t="shared" si="51"/>
        <v>331131.19360000006</v>
      </c>
      <c r="X82" s="345">
        <f t="shared" si="44"/>
        <v>60.073457761664358</v>
      </c>
      <c r="Y82" s="346">
        <f t="shared" si="45"/>
        <v>-84.235957818038415</v>
      </c>
      <c r="AA82" s="345">
        <f t="shared" si="46"/>
        <v>56.319548412891969</v>
      </c>
      <c r="AB82" s="346">
        <f t="shared" si="47"/>
        <v>-54.859552920310968</v>
      </c>
      <c r="AD82">
        <f t="shared" si="52"/>
        <v>0</v>
      </c>
      <c r="AE82">
        <f t="shared" si="48"/>
        <v>0</v>
      </c>
    </row>
    <row r="83" spans="1:31" x14ac:dyDescent="0.2">
      <c r="A83" s="347">
        <v>630.96</v>
      </c>
      <c r="B83" s="364">
        <f t="shared" si="49"/>
        <v>0.63096000000000008</v>
      </c>
      <c r="C83" s="337">
        <f t="shared" si="27"/>
        <v>1.8521807650834785</v>
      </c>
      <c r="D83" s="338">
        <f t="shared" si="28"/>
        <v>1.0004731469988379</v>
      </c>
      <c r="E83" s="338">
        <f t="shared" si="29"/>
        <v>1.0000007072545525</v>
      </c>
      <c r="F83" s="339">
        <f t="shared" si="30"/>
        <v>1.1893310182932288E-3</v>
      </c>
      <c r="G83" s="338">
        <f t="shared" si="31"/>
        <v>1</v>
      </c>
      <c r="H83" s="339">
        <f t="shared" si="32"/>
        <v>0</v>
      </c>
      <c r="I83" s="337">
        <f t="shared" si="33"/>
        <v>83.833027470195219</v>
      </c>
      <c r="J83" s="340">
        <f t="shared" si="34"/>
        <v>1.5588675709519972</v>
      </c>
      <c r="K83" s="348">
        <f t="shared" si="35"/>
        <v>1.004802222329743</v>
      </c>
      <c r="L83" s="349">
        <f t="shared" si="36"/>
        <v>9.7806778616209053E-2</v>
      </c>
      <c r="M83" s="337">
        <f t="shared" si="37"/>
        <v>1.0000017914957424</v>
      </c>
      <c r="N83" s="340">
        <f t="shared" si="38"/>
        <v>1.8928777392785278E-3</v>
      </c>
      <c r="O83" s="341">
        <f t="shared" si="39"/>
        <v>0.9999999073299819</v>
      </c>
      <c r="P83" s="342">
        <f t="shared" si="40"/>
        <v>7.8158882703053894E-4</v>
      </c>
      <c r="Q83" s="343">
        <f t="shared" si="41"/>
        <v>58.216086121151925</v>
      </c>
      <c r="R83" s="344">
        <f t="shared" si="42"/>
        <v>-141.12059801224564</v>
      </c>
      <c r="S83" s="346">
        <f t="shared" si="43"/>
        <v>38.879401987754363</v>
      </c>
      <c r="U83" s="319">
        <f t="shared" si="50"/>
        <v>1000000000</v>
      </c>
      <c r="V83" s="319">
        <f t="shared" si="51"/>
        <v>398110.52160000004</v>
      </c>
      <c r="X83" s="345">
        <f t="shared" si="44"/>
        <v>59.280517575243167</v>
      </c>
      <c r="Y83" s="346">
        <f t="shared" si="45"/>
        <v>-83.821071014255139</v>
      </c>
      <c r="AA83" s="345">
        <f t="shared" si="46"/>
        <v>55.768318704003754</v>
      </c>
      <c r="AB83" s="346">
        <f t="shared" si="47"/>
        <v>-57.299526997990498</v>
      </c>
      <c r="AD83">
        <f t="shared" si="52"/>
        <v>0</v>
      </c>
      <c r="AE83">
        <f t="shared" si="48"/>
        <v>0</v>
      </c>
    </row>
    <row r="84" spans="1:31" x14ac:dyDescent="0.2">
      <c r="A84" s="347">
        <v>691.83</v>
      </c>
      <c r="B84" s="364">
        <f t="shared" si="49"/>
        <v>0.69183000000000006</v>
      </c>
      <c r="C84" s="337">
        <f t="shared" si="27"/>
        <v>1.9804442379594802</v>
      </c>
      <c r="D84" s="338">
        <f t="shared" si="28"/>
        <v>1.0414871007110422</v>
      </c>
      <c r="E84" s="338">
        <f t="shared" si="29"/>
        <v>1.0000008502973896</v>
      </c>
      <c r="F84" s="339">
        <f t="shared" si="30"/>
        <v>1.304068086599261E-3</v>
      </c>
      <c r="G84" s="338">
        <f t="shared" si="31"/>
        <v>1</v>
      </c>
      <c r="H84" s="339">
        <f t="shared" si="32"/>
        <v>0</v>
      </c>
      <c r="I84" s="337">
        <f t="shared" si="33"/>
        <v>91.919470721440831</v>
      </c>
      <c r="J84" s="340">
        <f t="shared" si="34"/>
        <v>1.5599170243036971</v>
      </c>
      <c r="K84" s="348">
        <f t="shared" si="35"/>
        <v>1.0057706886457252</v>
      </c>
      <c r="L84" s="349">
        <f t="shared" si="36"/>
        <v>0.10717344736363384</v>
      </c>
      <c r="M84" s="337">
        <f t="shared" si="37"/>
        <v>1.0000021538270505</v>
      </c>
      <c r="N84" s="340">
        <f t="shared" si="38"/>
        <v>2.075487019840156E-3</v>
      </c>
      <c r="O84" s="341">
        <f t="shared" si="39"/>
        <v>0.99999988858740174</v>
      </c>
      <c r="P84" s="342">
        <f t="shared" si="40"/>
        <v>8.5699033135814217E-4</v>
      </c>
      <c r="Q84" s="343">
        <f t="shared" si="41"/>
        <v>56.843019858307272</v>
      </c>
      <c r="R84" s="344">
        <f t="shared" si="42"/>
        <v>-143.00219210304897</v>
      </c>
      <c r="S84" s="346">
        <f t="shared" si="43"/>
        <v>36.997807896951031</v>
      </c>
      <c r="U84" s="319">
        <f t="shared" si="50"/>
        <v>1000000000</v>
      </c>
      <c r="V84" s="319">
        <f t="shared" si="51"/>
        <v>478628.74890000006</v>
      </c>
      <c r="X84" s="345">
        <f t="shared" si="44"/>
        <v>58.489034887898839</v>
      </c>
      <c r="Y84" s="346">
        <f t="shared" si="45"/>
        <v>-83.354992415322386</v>
      </c>
      <c r="AA84" s="345">
        <f t="shared" si="46"/>
        <v>55.186735128503429</v>
      </c>
      <c r="AB84" s="346">
        <f t="shared" si="47"/>
        <v>-59.647199687726605</v>
      </c>
      <c r="AD84">
        <f t="shared" si="52"/>
        <v>0</v>
      </c>
      <c r="AE84">
        <f t="shared" si="48"/>
        <v>0</v>
      </c>
    </row>
    <row r="85" spans="1:31" x14ac:dyDescent="0.2">
      <c r="A85" s="347">
        <v>758.58</v>
      </c>
      <c r="B85" s="364">
        <f t="shared" si="49"/>
        <v>0.75858000000000003</v>
      </c>
      <c r="C85" s="337">
        <f t="shared" si="27"/>
        <v>2.1244388946424508</v>
      </c>
      <c r="D85" s="338">
        <f t="shared" si="28"/>
        <v>1.0806981316112909</v>
      </c>
      <c r="E85" s="338">
        <f t="shared" si="29"/>
        <v>1.000001022291628</v>
      </c>
      <c r="F85" s="339">
        <f t="shared" si="30"/>
        <v>1.4298886369534449E-3</v>
      </c>
      <c r="G85" s="338">
        <f t="shared" si="31"/>
        <v>1</v>
      </c>
      <c r="H85" s="339">
        <f t="shared" si="32"/>
        <v>0</v>
      </c>
      <c r="I85" s="337">
        <f t="shared" si="33"/>
        <v>100.78715561159137</v>
      </c>
      <c r="J85" s="340">
        <f t="shared" si="34"/>
        <v>1.5608742647820739</v>
      </c>
      <c r="K85" s="348">
        <f t="shared" si="35"/>
        <v>1.0069339362135235</v>
      </c>
      <c r="L85" s="349">
        <f t="shared" si="36"/>
        <v>0.11742321435964354</v>
      </c>
      <c r="M85" s="337">
        <f t="shared" si="37"/>
        <v>1.0000025894929212</v>
      </c>
      <c r="N85" s="340">
        <f t="shared" si="38"/>
        <v>2.2757360713320414E-3</v>
      </c>
      <c r="O85" s="341">
        <f t="shared" si="39"/>
        <v>0.99999986605138957</v>
      </c>
      <c r="P85" s="342">
        <f t="shared" si="40"/>
        <v>9.3967557970651213E-4</v>
      </c>
      <c r="Q85" s="343">
        <f t="shared" si="41"/>
        <v>55.443471846633344</v>
      </c>
      <c r="R85" s="344">
        <f t="shared" si="42"/>
        <v>-144.72539809023459</v>
      </c>
      <c r="S85" s="346">
        <f t="shared" si="43"/>
        <v>35.274601909765408</v>
      </c>
      <c r="U85" s="319">
        <f t="shared" si="50"/>
        <v>1000000000</v>
      </c>
      <c r="V85" s="319">
        <f t="shared" si="51"/>
        <v>575443.61640000006</v>
      </c>
      <c r="X85" s="345">
        <f t="shared" si="44"/>
        <v>57.699117690442144</v>
      </c>
      <c r="Y85" s="346">
        <f t="shared" si="45"/>
        <v>-82.834043289755357</v>
      </c>
      <c r="AA85" s="345">
        <f t="shared" si="46"/>
        <v>54.577104314286217</v>
      </c>
      <c r="AB85" s="346">
        <f t="shared" si="47"/>
        <v>-61.891354800479263</v>
      </c>
      <c r="AD85">
        <f t="shared" si="52"/>
        <v>0</v>
      </c>
      <c r="AE85">
        <f t="shared" si="48"/>
        <v>0</v>
      </c>
    </row>
    <row r="86" spans="1:31" x14ac:dyDescent="0.2">
      <c r="A86" s="347">
        <v>831.76</v>
      </c>
      <c r="B86" s="364">
        <f t="shared" si="49"/>
        <v>0.83175999999999994</v>
      </c>
      <c r="C86" s="337">
        <f t="shared" si="27"/>
        <v>2.2855587804614124</v>
      </c>
      <c r="D86" s="338">
        <f t="shared" si="28"/>
        <v>1.1179466289219591</v>
      </c>
      <c r="E86" s="338">
        <f t="shared" si="29"/>
        <v>1.0000012290457363</v>
      </c>
      <c r="F86" s="339">
        <f t="shared" si="30"/>
        <v>1.5678293769157785E-3</v>
      </c>
      <c r="G86" s="338">
        <f t="shared" si="31"/>
        <v>1</v>
      </c>
      <c r="H86" s="339">
        <f t="shared" si="32"/>
        <v>0</v>
      </c>
      <c r="I86" s="337">
        <f t="shared" si="33"/>
        <v>110.50914920676246</v>
      </c>
      <c r="J86" s="340">
        <f t="shared" si="34"/>
        <v>1.5617471787817672</v>
      </c>
      <c r="K86" s="348">
        <f t="shared" si="35"/>
        <v>1.008330499076227</v>
      </c>
      <c r="L86" s="349">
        <f t="shared" si="36"/>
        <v>0.12863184836761049</v>
      </c>
      <c r="M86" s="337">
        <f t="shared" si="37"/>
        <v>1.0000031132062932</v>
      </c>
      <c r="N86" s="340">
        <f t="shared" si="38"/>
        <v>2.495274821130353E-3</v>
      </c>
      <c r="O86" s="341">
        <f t="shared" si="39"/>
        <v>0.99999983896087752</v>
      </c>
      <c r="P86" s="342">
        <f t="shared" si="40"/>
        <v>1.0303258781050662E-3</v>
      </c>
      <c r="Q86" s="343">
        <f t="shared" si="41"/>
        <v>54.020683889195588</v>
      </c>
      <c r="R86" s="344">
        <f t="shared" si="42"/>
        <v>-146.27725574750065</v>
      </c>
      <c r="S86" s="346">
        <f t="shared" si="43"/>
        <v>33.722744252499353</v>
      </c>
      <c r="U86" s="319">
        <f t="shared" si="50"/>
        <v>1000000000</v>
      </c>
      <c r="V86" s="319">
        <f t="shared" si="51"/>
        <v>691824.69759999996</v>
      </c>
      <c r="X86" s="345">
        <f t="shared" si="44"/>
        <v>56.911290723335235</v>
      </c>
      <c r="Y86" s="346">
        <f t="shared" si="45"/>
        <v>-82.254428798193061</v>
      </c>
      <c r="AA86" s="345">
        <f t="shared" si="46"/>
        <v>53.942143323955356</v>
      </c>
      <c r="AB86" s="346">
        <f t="shared" si="47"/>
        <v>-64.0228269493076</v>
      </c>
      <c r="AD86">
        <f t="shared" si="52"/>
        <v>0</v>
      </c>
      <c r="AE86">
        <f t="shared" si="48"/>
        <v>0</v>
      </c>
    </row>
    <row r="87" spans="1:31" x14ac:dyDescent="0.2">
      <c r="A87" s="347">
        <v>912.01</v>
      </c>
      <c r="B87" s="364">
        <f t="shared" si="49"/>
        <v>0.91200999999999999</v>
      </c>
      <c r="C87" s="337">
        <f t="shared" si="27"/>
        <v>2.4653875755974499</v>
      </c>
      <c r="D87" s="338">
        <f t="shared" si="28"/>
        <v>1.1531439554377614</v>
      </c>
      <c r="E87" s="338">
        <f t="shared" si="29"/>
        <v>1.0000014776484727</v>
      </c>
      <c r="F87" s="339">
        <f t="shared" si="30"/>
        <v>1.7190966541556197E-3</v>
      </c>
      <c r="G87" s="338">
        <f t="shared" si="31"/>
        <v>1</v>
      </c>
      <c r="H87" s="339">
        <f t="shared" si="32"/>
        <v>0</v>
      </c>
      <c r="I87" s="337">
        <f t="shared" si="33"/>
        <v>121.17047577524495</v>
      </c>
      <c r="J87" s="340">
        <f t="shared" si="34"/>
        <v>1.5625433976428176</v>
      </c>
      <c r="K87" s="348">
        <f t="shared" si="35"/>
        <v>1.0100071805169</v>
      </c>
      <c r="L87" s="349">
        <f t="shared" si="36"/>
        <v>0.14088601034594561</v>
      </c>
      <c r="M87" s="337">
        <f t="shared" si="37"/>
        <v>1.0000037429230757</v>
      </c>
      <c r="N87" s="340">
        <f t="shared" si="38"/>
        <v>2.7360231728513385E-3</v>
      </c>
      <c r="O87" s="341">
        <f t="shared" si="39"/>
        <v>0.99999980638704622</v>
      </c>
      <c r="P87" s="342">
        <f t="shared" si="40"/>
        <v>1.1297340198229428E-3</v>
      </c>
      <c r="Q87" s="343">
        <f t="shared" si="41"/>
        <v>52.57728430298264</v>
      </c>
      <c r="R87" s="344">
        <f t="shared" si="42"/>
        <v>-147.64824478092896</v>
      </c>
      <c r="S87" s="346">
        <f t="shared" si="43"/>
        <v>32.351755219071038</v>
      </c>
      <c r="U87" s="319">
        <f t="shared" si="50"/>
        <v>1000000000</v>
      </c>
      <c r="V87" s="319">
        <f t="shared" si="51"/>
        <v>831762.24009999994</v>
      </c>
      <c r="X87" s="345">
        <f t="shared" si="44"/>
        <v>56.125744854207795</v>
      </c>
      <c r="Y87" s="346">
        <f t="shared" si="45"/>
        <v>-81.611730879415632</v>
      </c>
      <c r="AA87" s="345">
        <f t="shared" si="46"/>
        <v>53.284289606869855</v>
      </c>
      <c r="AB87" s="346">
        <f t="shared" si="47"/>
        <v>-66.036513901513345</v>
      </c>
      <c r="AD87">
        <f t="shared" si="52"/>
        <v>0</v>
      </c>
      <c r="AE87">
        <f t="shared" si="48"/>
        <v>0</v>
      </c>
    </row>
    <row r="88" spans="1:31" x14ac:dyDescent="0.2">
      <c r="A88" s="347">
        <v>1000</v>
      </c>
      <c r="B88" s="364">
        <f t="shared" si="49"/>
        <v>1</v>
      </c>
      <c r="C88" s="337">
        <f t="shared" si="27"/>
        <v>2.6655718752278057</v>
      </c>
      <c r="D88" s="338">
        <f t="shared" si="28"/>
        <v>1.1862334041523306</v>
      </c>
      <c r="E88" s="338">
        <f t="shared" si="29"/>
        <v>1.0000017765272102</v>
      </c>
      <c r="F88" s="339">
        <f t="shared" si="30"/>
        <v>1.8849533575528458E-3</v>
      </c>
      <c r="G88" s="338">
        <f t="shared" si="31"/>
        <v>1</v>
      </c>
      <c r="H88" s="339">
        <f t="shared" si="32"/>
        <v>0</v>
      </c>
      <c r="I88" s="337">
        <f t="shared" si="33"/>
        <v>132.86014578127475</v>
      </c>
      <c r="J88" s="340">
        <f t="shared" si="34"/>
        <v>1.5632695441298758</v>
      </c>
      <c r="K88" s="348">
        <f t="shared" si="35"/>
        <v>1.0120192676666304</v>
      </c>
      <c r="L88" s="349">
        <f t="shared" si="36"/>
        <v>0.15427316000670208</v>
      </c>
      <c r="M88" s="337">
        <f t="shared" si="37"/>
        <v>1.000004499989875</v>
      </c>
      <c r="N88" s="340">
        <f t="shared" si="38"/>
        <v>2.9999910000485992E-3</v>
      </c>
      <c r="O88" s="341">
        <f t="shared" si="39"/>
        <v>0.99999976722568262</v>
      </c>
      <c r="P88" s="342">
        <f t="shared" si="40"/>
        <v>1.2387299620313917E-3</v>
      </c>
      <c r="Q88" s="343">
        <f t="shared" si="41"/>
        <v>51.116504938421031</v>
      </c>
      <c r="R88" s="344">
        <f t="shared" si="42"/>
        <v>-148.83057485457437</v>
      </c>
      <c r="S88" s="346">
        <f t="shared" si="43"/>
        <v>31.169425145425635</v>
      </c>
      <c r="U88" s="319">
        <f t="shared" si="50"/>
        <v>1000000000</v>
      </c>
      <c r="V88" s="319">
        <f t="shared" si="51"/>
        <v>1000000</v>
      </c>
      <c r="X88" s="345">
        <f t="shared" si="44"/>
        <v>55.343066442422135</v>
      </c>
      <c r="Y88" s="346">
        <f t="shared" si="45"/>
        <v>-80.901433074774999</v>
      </c>
      <c r="AA88" s="345">
        <f t="shared" si="46"/>
        <v>52.606188654093906</v>
      </c>
      <c r="AB88" s="346">
        <f t="shared" si="47"/>
        <v>-67.929141779799366</v>
      </c>
      <c r="AD88">
        <f t="shared" si="52"/>
        <v>0</v>
      </c>
      <c r="AE88">
        <f t="shared" si="48"/>
        <v>0</v>
      </c>
    </row>
    <row r="89" spans="1:31" x14ac:dyDescent="0.2">
      <c r="A89" s="347">
        <v>1096.5</v>
      </c>
      <c r="B89" s="364">
        <f t="shared" si="49"/>
        <v>1.0965</v>
      </c>
      <c r="C89" s="337">
        <f t="shared" si="27"/>
        <v>2.8879828643668595</v>
      </c>
      <c r="D89" s="338">
        <f t="shared" si="28"/>
        <v>1.2172121855152158</v>
      </c>
      <c r="E89" s="338">
        <f t="shared" si="29"/>
        <v>1.0000021359400433</v>
      </c>
      <c r="F89" s="339">
        <f t="shared" si="30"/>
        <v>2.0668508613221974E-3</v>
      </c>
      <c r="G89" s="338">
        <f t="shared" si="31"/>
        <v>1</v>
      </c>
      <c r="H89" s="339">
        <f t="shared" si="32"/>
        <v>0</v>
      </c>
      <c r="I89" s="337">
        <f t="shared" si="33"/>
        <v>145.68045548091095</v>
      </c>
      <c r="J89" s="340">
        <f t="shared" si="34"/>
        <v>1.5639319341071025</v>
      </c>
      <c r="K89" s="348">
        <f t="shared" si="35"/>
        <v>1.0144335931403425</v>
      </c>
      <c r="L89" s="349">
        <f t="shared" si="36"/>
        <v>0.16889107553609956</v>
      </c>
      <c r="M89" s="337">
        <f t="shared" si="37"/>
        <v>1.000005410390489</v>
      </c>
      <c r="N89" s="340">
        <f t="shared" si="38"/>
        <v>3.2894881350585933E-3</v>
      </c>
      <c r="O89" s="341">
        <f t="shared" si="39"/>
        <v>0.99999972013270189</v>
      </c>
      <c r="P89" s="342">
        <f t="shared" si="40"/>
        <v>1.358267537608793E-3</v>
      </c>
      <c r="Q89" s="343">
        <f t="shared" si="41"/>
        <v>49.640981779037944</v>
      </c>
      <c r="R89" s="344">
        <f t="shared" si="42"/>
        <v>-149.8189495705503</v>
      </c>
      <c r="S89" s="346">
        <f t="shared" si="43"/>
        <v>30.181050429449698</v>
      </c>
      <c r="U89" s="319">
        <f t="shared" si="50"/>
        <v>1000000000</v>
      </c>
      <c r="V89" s="319">
        <f t="shared" si="51"/>
        <v>1202312.25</v>
      </c>
      <c r="X89" s="345">
        <f t="shared" si="44"/>
        <v>54.563624044058187</v>
      </c>
      <c r="Y89" s="346">
        <f t="shared" si="45"/>
        <v>-80.118427322871113</v>
      </c>
      <c r="AA89" s="345">
        <f t="shared" si="46"/>
        <v>51.910107893074766</v>
      </c>
      <c r="AB89" s="346">
        <f t="shared" si="47"/>
        <v>-69.700522247679174</v>
      </c>
      <c r="AD89">
        <f t="shared" si="52"/>
        <v>0</v>
      </c>
      <c r="AE89">
        <f t="shared" si="48"/>
        <v>0</v>
      </c>
    </row>
    <row r="90" spans="1:31" x14ac:dyDescent="0.2">
      <c r="A90" s="347">
        <v>1202.3</v>
      </c>
      <c r="B90" s="364">
        <f t="shared" si="49"/>
        <v>1.2022999999999999</v>
      </c>
      <c r="C90" s="337">
        <f t="shared" si="27"/>
        <v>3.1345377863209376</v>
      </c>
      <c r="D90" s="338">
        <f t="shared" si="28"/>
        <v>1.2460943998862486</v>
      </c>
      <c r="E90" s="338">
        <f t="shared" si="29"/>
        <v>1.0000025680139943</v>
      </c>
      <c r="F90" s="339">
        <f t="shared" si="30"/>
        <v>2.266278225967866E-3</v>
      </c>
      <c r="G90" s="338">
        <f t="shared" si="31"/>
        <v>1</v>
      </c>
      <c r="H90" s="339">
        <f t="shared" si="32"/>
        <v>0</v>
      </c>
      <c r="I90" s="337">
        <f t="shared" si="33"/>
        <v>159.73635871447811</v>
      </c>
      <c r="J90" s="340">
        <f t="shared" si="34"/>
        <v>1.5645359704171251</v>
      </c>
      <c r="K90" s="348">
        <f t="shared" si="35"/>
        <v>1.0173284304406192</v>
      </c>
      <c r="L90" s="349">
        <f t="shared" si="36"/>
        <v>0.18483423292454373</v>
      </c>
      <c r="M90" s="337">
        <f t="shared" si="37"/>
        <v>1.0000065048426485</v>
      </c>
      <c r="N90" s="340">
        <f t="shared" si="38"/>
        <v>3.6068843585265885E-3</v>
      </c>
      <c r="O90" s="341">
        <f t="shared" si="39"/>
        <v>0.99999966351914205</v>
      </c>
      <c r="P90" s="342">
        <f t="shared" si="40"/>
        <v>1.4893253574964128E-3</v>
      </c>
      <c r="Q90" s="343">
        <f t="shared" si="41"/>
        <v>48.154099956694161</v>
      </c>
      <c r="R90" s="344">
        <f t="shared" si="42"/>
        <v>-150.60917983634803</v>
      </c>
      <c r="S90" s="346">
        <f t="shared" si="43"/>
        <v>29.390820163651966</v>
      </c>
      <c r="U90" s="319">
        <f t="shared" si="50"/>
        <v>1000000000</v>
      </c>
      <c r="V90" s="319">
        <f t="shared" si="51"/>
        <v>1445525.2899999998</v>
      </c>
      <c r="X90" s="345">
        <f t="shared" si="44"/>
        <v>53.788315927073214</v>
      </c>
      <c r="Y90" s="346">
        <f t="shared" si="45"/>
        <v>-79.257745886692021</v>
      </c>
      <c r="AA90" s="345">
        <f t="shared" si="46"/>
        <v>51.19853418771595</v>
      </c>
      <c r="AB90" s="346">
        <f t="shared" si="47"/>
        <v>-71.351433949656027</v>
      </c>
      <c r="AD90">
        <f t="shared" si="52"/>
        <v>0</v>
      </c>
      <c r="AE90">
        <f t="shared" ref="AE90:AE153" si="53">IF(AD90&gt;0,S90,0)</f>
        <v>0</v>
      </c>
    </row>
    <row r="91" spans="1:31" x14ac:dyDescent="0.2">
      <c r="A91" s="347">
        <v>1318.3</v>
      </c>
      <c r="B91" s="364">
        <f t="shared" si="49"/>
        <v>1.3183</v>
      </c>
      <c r="C91" s="337">
        <f t="shared" si="27"/>
        <v>3.4074103931907853</v>
      </c>
      <c r="D91" s="338">
        <f t="shared" si="28"/>
        <v>1.2729333013192659</v>
      </c>
      <c r="E91" s="338">
        <f t="shared" si="29"/>
        <v>1.0000030874510673</v>
      </c>
      <c r="F91" s="339">
        <f t="shared" si="30"/>
        <v>2.4849318395605531E-3</v>
      </c>
      <c r="G91" s="338">
        <f t="shared" si="31"/>
        <v>1</v>
      </c>
      <c r="H91" s="339">
        <f t="shared" si="32"/>
        <v>0</v>
      </c>
      <c r="I91" s="337">
        <f t="shared" si="33"/>
        <v>175.14742364246996</v>
      </c>
      <c r="J91" s="340">
        <f t="shared" si="34"/>
        <v>1.5650868198418268</v>
      </c>
      <c r="K91" s="348">
        <f t="shared" si="35"/>
        <v>1.0207977236124537</v>
      </c>
      <c r="L91" s="349">
        <f t="shared" si="36"/>
        <v>0.20220560124362275</v>
      </c>
      <c r="M91" s="337">
        <f t="shared" si="37"/>
        <v>1.0000078205864242</v>
      </c>
      <c r="N91" s="340">
        <f t="shared" si="38"/>
        <v>3.9548793803547136E-3</v>
      </c>
      <c r="O91" s="341">
        <f t="shared" si="39"/>
        <v>0.99999959545865447</v>
      </c>
      <c r="P91" s="342">
        <f t="shared" si="40"/>
        <v>1.63301829762162E-3</v>
      </c>
      <c r="Q91" s="343">
        <f t="shared" si="41"/>
        <v>46.65864571125109</v>
      </c>
      <c r="R91" s="344">
        <f t="shared" si="42"/>
        <v>-151.19883458985666</v>
      </c>
      <c r="S91" s="346">
        <f t="shared" si="43"/>
        <v>28.801165410143341</v>
      </c>
      <c r="U91" s="319">
        <f t="shared" si="50"/>
        <v>1000000000</v>
      </c>
      <c r="V91" s="319">
        <f t="shared" si="51"/>
        <v>1737914.89</v>
      </c>
      <c r="X91" s="345">
        <f t="shared" si="44"/>
        <v>53.017875262495345</v>
      </c>
      <c r="Y91" s="346">
        <f t="shared" si="45"/>
        <v>-78.313939789788009</v>
      </c>
      <c r="AA91" s="345">
        <f t="shared" si="46"/>
        <v>50.473520606850741</v>
      </c>
      <c r="AB91" s="346">
        <f t="shared" si="47"/>
        <v>-72.884894800068622</v>
      </c>
      <c r="AD91">
        <f t="shared" si="52"/>
        <v>0</v>
      </c>
      <c r="AE91">
        <f t="shared" si="53"/>
        <v>0</v>
      </c>
    </row>
    <row r="92" spans="1:31" x14ac:dyDescent="0.2">
      <c r="A92" s="347">
        <v>1445.4</v>
      </c>
      <c r="B92" s="364">
        <f t="shared" si="49"/>
        <v>1.4454</v>
      </c>
      <c r="C92" s="337">
        <f t="shared" si="27"/>
        <v>3.7087763763676271</v>
      </c>
      <c r="D92" s="338">
        <f t="shared" si="28"/>
        <v>1.2977868111822004</v>
      </c>
      <c r="E92" s="338">
        <f t="shared" si="29"/>
        <v>1.0000037114835869</v>
      </c>
      <c r="F92" s="339">
        <f t="shared" si="30"/>
        <v>2.7245080684755157E-3</v>
      </c>
      <c r="G92" s="338">
        <f t="shared" si="31"/>
        <v>1</v>
      </c>
      <c r="H92" s="339">
        <f t="shared" si="32"/>
        <v>0</v>
      </c>
      <c r="I92" s="337">
        <f t="shared" si="33"/>
        <v>192.0332188145791</v>
      </c>
      <c r="J92" s="340">
        <f t="shared" si="34"/>
        <v>1.5655888708881174</v>
      </c>
      <c r="K92" s="348">
        <f t="shared" si="35"/>
        <v>1.0249500788245169</v>
      </c>
      <c r="L92" s="349">
        <f t="shared" si="36"/>
        <v>0.22109786718880275</v>
      </c>
      <c r="M92" s="337">
        <f t="shared" si="37"/>
        <v>1.0000094012710281</v>
      </c>
      <c r="N92" s="340">
        <f t="shared" si="38"/>
        <v>4.3361728229845608E-3</v>
      </c>
      <c r="O92" s="341">
        <f t="shared" si="39"/>
        <v>0.99999951369335793</v>
      </c>
      <c r="P92" s="342">
        <f t="shared" si="40"/>
        <v>1.7904612397928014E-3</v>
      </c>
      <c r="Q92" s="343">
        <f t="shared" si="41"/>
        <v>45.158322270209432</v>
      </c>
      <c r="R92" s="344">
        <f t="shared" si="42"/>
        <v>-151.58629472781809</v>
      </c>
      <c r="S92" s="346">
        <f t="shared" si="43"/>
        <v>28.413705272181915</v>
      </c>
      <c r="U92" s="319">
        <f t="shared" si="50"/>
        <v>1000000000</v>
      </c>
      <c r="V92" s="319">
        <f t="shared" si="51"/>
        <v>2089181.1600000001</v>
      </c>
      <c r="X92" s="345">
        <f t="shared" si="44"/>
        <v>52.253669775853297</v>
      </c>
      <c r="Y92" s="346">
        <f t="shared" si="45"/>
        <v>-77.28210459558268</v>
      </c>
      <c r="AA92" s="345">
        <f t="shared" si="46"/>
        <v>49.737402652451138</v>
      </c>
      <c r="AB92" s="346">
        <f t="shared" si="47"/>
        <v>-74.304190132235362</v>
      </c>
      <c r="AD92">
        <f t="shared" si="52"/>
        <v>0</v>
      </c>
      <c r="AE92">
        <f t="shared" si="53"/>
        <v>0</v>
      </c>
    </row>
    <row r="93" spans="1:31" x14ac:dyDescent="0.2">
      <c r="A93" s="347">
        <v>1584.9</v>
      </c>
      <c r="B93" s="364">
        <f t="shared" si="49"/>
        <v>1.5849000000000002</v>
      </c>
      <c r="C93" s="337">
        <f t="shared" si="27"/>
        <v>4.0417675851013106</v>
      </c>
      <c r="D93" s="338">
        <f t="shared" si="28"/>
        <v>1.3207833810326555</v>
      </c>
      <c r="E93" s="338">
        <f t="shared" si="29"/>
        <v>1.0000044624669362</v>
      </c>
      <c r="F93" s="339">
        <f t="shared" si="30"/>
        <v>2.9874572269729233E-3</v>
      </c>
      <c r="G93" s="338">
        <f t="shared" si="31"/>
        <v>1</v>
      </c>
      <c r="H93" s="339">
        <f t="shared" si="32"/>
        <v>0</v>
      </c>
      <c r="I93" s="337">
        <f t="shared" si="33"/>
        <v>210.56645498231524</v>
      </c>
      <c r="J93" s="340">
        <f t="shared" si="34"/>
        <v>1.5660472144108502</v>
      </c>
      <c r="K93" s="348">
        <f t="shared" si="35"/>
        <v>1.0299249811053239</v>
      </c>
      <c r="L93" s="349">
        <f t="shared" si="36"/>
        <v>0.24164974677171558</v>
      </c>
      <c r="M93" s="337">
        <f t="shared" si="37"/>
        <v>1.0000113035221601</v>
      </c>
      <c r="N93" s="340">
        <f t="shared" si="38"/>
        <v>4.7546641703789571E-3</v>
      </c>
      <c r="O93" s="341">
        <f t="shared" si="39"/>
        <v>0.99999941529412384</v>
      </c>
      <c r="P93" s="342">
        <f t="shared" si="40"/>
        <v>1.9632645668727121E-3</v>
      </c>
      <c r="Q93" s="343">
        <f t="shared" si="41"/>
        <v>43.65330045347298</v>
      </c>
      <c r="R93" s="344">
        <f t="shared" si="42"/>
        <v>-151.77143912428377</v>
      </c>
      <c r="S93" s="346">
        <f t="shared" si="43"/>
        <v>28.228560875716227</v>
      </c>
      <c r="U93" s="319">
        <f t="shared" si="50"/>
        <v>1000000000</v>
      </c>
      <c r="V93" s="319">
        <f t="shared" si="51"/>
        <v>2511908.0100000002</v>
      </c>
      <c r="X93" s="345">
        <f t="shared" si="44"/>
        <v>51.495454352578555</v>
      </c>
      <c r="Y93" s="346">
        <f t="shared" si="45"/>
        <v>-76.154807570520774</v>
      </c>
      <c r="AA93" s="345">
        <f t="shared" si="46"/>
        <v>48.990596258989427</v>
      </c>
      <c r="AB93" s="346">
        <f t="shared" si="47"/>
        <v>-75.616631553763</v>
      </c>
      <c r="AD93">
        <f t="shared" si="52"/>
        <v>0</v>
      </c>
      <c r="AE93">
        <f t="shared" si="53"/>
        <v>0</v>
      </c>
    </row>
    <row r="94" spans="1:31" x14ac:dyDescent="0.2">
      <c r="A94" s="347">
        <v>1737.8</v>
      </c>
      <c r="B94" s="364">
        <f t="shared" si="49"/>
        <v>1.7378</v>
      </c>
      <c r="C94" s="337">
        <f t="shared" si="27"/>
        <v>4.408810881481342</v>
      </c>
      <c r="D94" s="338">
        <f t="shared" si="28"/>
        <v>1.341986501448575</v>
      </c>
      <c r="E94" s="338">
        <f t="shared" si="29"/>
        <v>1.0000053650116614</v>
      </c>
      <c r="F94" s="339">
        <f t="shared" si="30"/>
        <v>3.275664108320002E-3</v>
      </c>
      <c r="G94" s="338">
        <f t="shared" si="31"/>
        <v>1</v>
      </c>
      <c r="H94" s="339">
        <f t="shared" si="32"/>
        <v>0</v>
      </c>
      <c r="I94" s="337">
        <f t="shared" si="33"/>
        <v>230.8799869238108</v>
      </c>
      <c r="J94" s="340">
        <f t="shared" si="34"/>
        <v>1.5664650586760012</v>
      </c>
      <c r="K94" s="348">
        <f t="shared" si="35"/>
        <v>1.035872297701746</v>
      </c>
      <c r="L94" s="349">
        <f t="shared" si="36"/>
        <v>0.26393854767920444</v>
      </c>
      <c r="M94" s="337">
        <f t="shared" si="37"/>
        <v>1.0000135896774405</v>
      </c>
      <c r="N94" s="340">
        <f t="shared" si="38"/>
        <v>5.2133527681663934E-3</v>
      </c>
      <c r="O94" s="341">
        <f t="shared" si="39"/>
        <v>0.99999929703635537</v>
      </c>
      <c r="P94" s="342">
        <f t="shared" si="40"/>
        <v>2.152667052219239E-3</v>
      </c>
      <c r="Q94" s="343">
        <f t="shared" si="41"/>
        <v>42.148357257991634</v>
      </c>
      <c r="R94" s="344">
        <f t="shared" si="42"/>
        <v>-151.75379477295974</v>
      </c>
      <c r="S94" s="346">
        <f t="shared" si="43"/>
        <v>28.246205227040264</v>
      </c>
      <c r="U94" s="319">
        <f t="shared" si="50"/>
        <v>1000000000</v>
      </c>
      <c r="V94" s="319">
        <f t="shared" si="51"/>
        <v>3019948.84</v>
      </c>
      <c r="X94" s="345">
        <f t="shared" si="44"/>
        <v>50.745504957973971</v>
      </c>
      <c r="Y94" s="346">
        <f t="shared" si="45"/>
        <v>-74.927974980363331</v>
      </c>
      <c r="AA94" s="345">
        <f t="shared" si="46"/>
        <v>48.235602458112666</v>
      </c>
      <c r="AB94" s="346">
        <f t="shared" si="47"/>
        <v>-76.825819792596377</v>
      </c>
      <c r="AD94">
        <f t="shared" si="52"/>
        <v>0</v>
      </c>
      <c r="AE94">
        <f t="shared" si="53"/>
        <v>0</v>
      </c>
    </row>
    <row r="95" spans="1:31" x14ac:dyDescent="0.2">
      <c r="A95" s="347">
        <v>1905.5</v>
      </c>
      <c r="B95" s="364">
        <f t="shared" si="49"/>
        <v>1.9055</v>
      </c>
      <c r="C95" s="337">
        <f t="shared" si="27"/>
        <v>4.8132963707298053</v>
      </c>
      <c r="D95" s="338">
        <f t="shared" si="28"/>
        <v>1.3615141140257321</v>
      </c>
      <c r="E95" s="338">
        <f t="shared" si="29"/>
        <v>1.0000064504313129</v>
      </c>
      <c r="F95" s="339">
        <f t="shared" si="30"/>
        <v>3.5917674311155834E-3</v>
      </c>
      <c r="G95" s="338">
        <f t="shared" si="31"/>
        <v>1</v>
      </c>
      <c r="H95" s="339">
        <f t="shared" si="32"/>
        <v>0</v>
      </c>
      <c r="I95" s="337">
        <f t="shared" si="33"/>
        <v>253.15981165490376</v>
      </c>
      <c r="J95" s="340">
        <f t="shared" si="34"/>
        <v>1.5668462424825589</v>
      </c>
      <c r="K95" s="348">
        <f t="shared" si="35"/>
        <v>1.0429797598421913</v>
      </c>
      <c r="L95" s="349">
        <f t="shared" si="36"/>
        <v>0.28807915642332577</v>
      </c>
      <c r="M95" s="337">
        <f t="shared" si="37"/>
        <v>1.0000163390526426</v>
      </c>
      <c r="N95" s="340">
        <f t="shared" si="38"/>
        <v>5.7164377325825515E-3</v>
      </c>
      <c r="O95" s="341">
        <f t="shared" si="39"/>
        <v>0.99999915481720747</v>
      </c>
      <c r="P95" s="342">
        <f t="shared" si="40"/>
        <v>2.3604029763583975E-3</v>
      </c>
      <c r="Q95" s="343">
        <f t="shared" si="41"/>
        <v>40.64514510771555</v>
      </c>
      <c r="R95" s="344">
        <f t="shared" si="42"/>
        <v>-151.53394543538363</v>
      </c>
      <c r="S95" s="346">
        <f t="shared" si="43"/>
        <v>28.466054564616371</v>
      </c>
      <c r="U95" s="319">
        <f t="shared" si="50"/>
        <v>1000000000</v>
      </c>
      <c r="V95" s="319">
        <f t="shared" si="51"/>
        <v>3630930.25</v>
      </c>
      <c r="X95" s="345">
        <f t="shared" si="44"/>
        <v>50.004704815652516</v>
      </c>
      <c r="Y95" s="346">
        <f t="shared" si="45"/>
        <v>-73.595484851457996</v>
      </c>
      <c r="AA95" s="345">
        <f t="shared" si="46"/>
        <v>47.473190450158036</v>
      </c>
      <c r="AB95" s="346">
        <f t="shared" si="47"/>
        <v>-77.938460583925618</v>
      </c>
      <c r="AD95">
        <f t="shared" si="52"/>
        <v>0</v>
      </c>
      <c r="AE95">
        <f t="shared" si="53"/>
        <v>0</v>
      </c>
    </row>
    <row r="96" spans="1:31" x14ac:dyDescent="0.2">
      <c r="A96" s="347">
        <v>2089.3000000000002</v>
      </c>
      <c r="B96" s="364">
        <f t="shared" si="49"/>
        <v>2.0893000000000002</v>
      </c>
      <c r="C96" s="337">
        <f t="shared" si="27"/>
        <v>5.258382241356494</v>
      </c>
      <c r="D96" s="338">
        <f t="shared" si="28"/>
        <v>1.3794584179972078</v>
      </c>
      <c r="E96" s="338">
        <f t="shared" si="29"/>
        <v>1.0000077548280781</v>
      </c>
      <c r="F96" s="339">
        <f t="shared" si="30"/>
        <v>3.9382173540599202E-3</v>
      </c>
      <c r="G96" s="338">
        <f t="shared" si="31"/>
        <v>1</v>
      </c>
      <c r="H96" s="339">
        <f t="shared" si="32"/>
        <v>0</v>
      </c>
      <c r="I96" s="337">
        <f t="shared" si="33"/>
        <v>277.57864098736206</v>
      </c>
      <c r="J96" s="340">
        <f t="shared" si="34"/>
        <v>1.5671937363378072</v>
      </c>
      <c r="K96" s="348">
        <f t="shared" si="35"/>
        <v>1.0514575628727292</v>
      </c>
      <c r="L96" s="349">
        <f t="shared" si="36"/>
        <v>0.31414562095742476</v>
      </c>
      <c r="M96" s="337">
        <f t="shared" si="37"/>
        <v>1.0000196430922794</v>
      </c>
      <c r="N96" s="340">
        <f t="shared" si="38"/>
        <v>6.2678179205032068E-3</v>
      </c>
      <c r="O96" s="341">
        <f t="shared" si="39"/>
        <v>0.99999898390643516</v>
      </c>
      <c r="P96" s="342">
        <f t="shared" si="40"/>
        <v>2.5880827643216045E-3</v>
      </c>
      <c r="Q96" s="343">
        <f t="shared" si="41"/>
        <v>39.147429988310869</v>
      </c>
      <c r="R96" s="344">
        <f t="shared" si="42"/>
        <v>-151.11327657565784</v>
      </c>
      <c r="S96" s="346">
        <f t="shared" si="43"/>
        <v>28.886723424342165</v>
      </c>
      <c r="U96" s="319">
        <f t="shared" si="50"/>
        <v>1000000000</v>
      </c>
      <c r="V96" s="319">
        <f t="shared" si="51"/>
        <v>4365174.4900000012</v>
      </c>
      <c r="X96" s="345">
        <f t="shared" si="44"/>
        <v>49.275167864178393</v>
      </c>
      <c r="Y96" s="346">
        <f t="shared" si="45"/>
        <v>-72.153488134166409</v>
      </c>
      <c r="AA96" s="345">
        <f t="shared" si="46"/>
        <v>46.705012282227486</v>
      </c>
      <c r="AB96" s="346">
        <f t="shared" si="47"/>
        <v>-78.959788441491455</v>
      </c>
      <c r="AD96">
        <f t="shared" si="52"/>
        <v>0</v>
      </c>
      <c r="AE96">
        <f t="shared" si="53"/>
        <v>0</v>
      </c>
    </row>
    <row r="97" spans="1:31" x14ac:dyDescent="0.2">
      <c r="A97" s="347">
        <v>2290.9</v>
      </c>
      <c r="B97" s="364">
        <f t="shared" si="49"/>
        <v>2.2909000000000002</v>
      </c>
      <c r="C97" s="337">
        <f t="shared" si="27"/>
        <v>5.7482027830145244</v>
      </c>
      <c r="D97" s="338">
        <f t="shared" si="28"/>
        <v>1.3959392265415926</v>
      </c>
      <c r="E97" s="338">
        <f t="shared" si="29"/>
        <v>1.0000093235754439</v>
      </c>
      <c r="F97" s="339">
        <f t="shared" si="30"/>
        <v>4.3182179203189661E-3</v>
      </c>
      <c r="G97" s="338">
        <f t="shared" si="31"/>
        <v>1</v>
      </c>
      <c r="H97" s="339">
        <f t="shared" si="32"/>
        <v>0</v>
      </c>
      <c r="I97" s="337">
        <f t="shared" si="33"/>
        <v>304.36232915970879</v>
      </c>
      <c r="J97" s="340">
        <f t="shared" si="34"/>
        <v>1.5675107631644769</v>
      </c>
      <c r="K97" s="348">
        <f t="shared" si="35"/>
        <v>1.061563828694345</v>
      </c>
      <c r="L97" s="349">
        <f t="shared" si="36"/>
        <v>0.34223646934717922</v>
      </c>
      <c r="M97" s="337">
        <f t="shared" si="37"/>
        <v>1.0000236167237702</v>
      </c>
      <c r="N97" s="340">
        <f t="shared" si="38"/>
        <v>6.8725917946838464E-3</v>
      </c>
      <c r="O97" s="341">
        <f t="shared" si="39"/>
        <v>0.99999877835906226</v>
      </c>
      <c r="P97" s="342">
        <f t="shared" si="40"/>
        <v>2.8378123593865872E-3</v>
      </c>
      <c r="Q97" s="343">
        <f t="shared" si="41"/>
        <v>37.656802509518101</v>
      </c>
      <c r="R97" s="344">
        <f t="shared" si="42"/>
        <v>-150.49342160469959</v>
      </c>
      <c r="S97" s="346">
        <f t="shared" si="43"/>
        <v>29.506578395300409</v>
      </c>
      <c r="U97" s="319">
        <f t="shared" si="50"/>
        <v>1000000000</v>
      </c>
      <c r="V97" s="319">
        <f t="shared" si="51"/>
        <v>5248222.8100000005</v>
      </c>
      <c r="X97" s="345">
        <f t="shared" si="44"/>
        <v>48.558123535035691</v>
      </c>
      <c r="Y97" s="346">
        <f t="shared" si="45"/>
        <v>-70.596816366423795</v>
      </c>
      <c r="AA97" s="345">
        <f t="shared" si="46"/>
        <v>45.931429132577421</v>
      </c>
      <c r="AB97" s="346">
        <f t="shared" si="47"/>
        <v>-79.896605238275825</v>
      </c>
      <c r="AD97">
        <f t="shared" si="52"/>
        <v>0</v>
      </c>
      <c r="AE97">
        <f t="shared" si="53"/>
        <v>0</v>
      </c>
    </row>
    <row r="98" spans="1:31" x14ac:dyDescent="0.2">
      <c r="A98" s="347">
        <v>2511.9</v>
      </c>
      <c r="B98" s="364">
        <f t="shared" si="49"/>
        <v>2.5119000000000002</v>
      </c>
      <c r="C98" s="337">
        <f t="shared" si="27"/>
        <v>6.2866594646054175</v>
      </c>
      <c r="D98" s="338">
        <f t="shared" si="28"/>
        <v>1.4110507881284426</v>
      </c>
      <c r="E98" s="338">
        <f t="shared" si="29"/>
        <v>1.00001120919714</v>
      </c>
      <c r="F98" s="339">
        <f t="shared" si="30"/>
        <v>4.7347845644451544E-3</v>
      </c>
      <c r="G98" s="338">
        <f t="shared" si="31"/>
        <v>1</v>
      </c>
      <c r="H98" s="339">
        <f t="shared" si="32"/>
        <v>0</v>
      </c>
      <c r="I98" s="337">
        <f t="shared" si="33"/>
        <v>333.72344513057868</v>
      </c>
      <c r="J98" s="340">
        <f t="shared" si="34"/>
        <v>1.567799829212565</v>
      </c>
      <c r="K98" s="348">
        <f t="shared" si="35"/>
        <v>1.073585604992054</v>
      </c>
      <c r="L98" s="349">
        <f t="shared" si="36"/>
        <v>0.37239640395713586</v>
      </c>
      <c r="M98" s="337">
        <f t="shared" si="37"/>
        <v>1.0000283929841642</v>
      </c>
      <c r="N98" s="340">
        <f t="shared" si="38"/>
        <v>7.5355573621610919E-3</v>
      </c>
      <c r="O98" s="341">
        <f t="shared" si="39"/>
        <v>0.99999853129332539</v>
      </c>
      <c r="P98" s="342">
        <f t="shared" si="40"/>
        <v>3.1115738625427389E-3</v>
      </c>
      <c r="Q98" s="343">
        <f t="shared" si="41"/>
        <v>36.176917401759844</v>
      </c>
      <c r="R98" s="344">
        <f t="shared" si="42"/>
        <v>-149.6775786026694</v>
      </c>
      <c r="S98" s="346">
        <f t="shared" si="43"/>
        <v>30.322421397330601</v>
      </c>
      <c r="U98" s="319">
        <f t="shared" si="50"/>
        <v>1000000000</v>
      </c>
      <c r="V98" s="319">
        <f t="shared" si="51"/>
        <v>6309641.6100000003</v>
      </c>
      <c r="X98" s="345">
        <f t="shared" si="44"/>
        <v>47.855977013834377</v>
      </c>
      <c r="Y98" s="346">
        <f t="shared" si="45"/>
        <v>-68.9233267945054</v>
      </c>
      <c r="AA98" s="345">
        <f t="shared" si="46"/>
        <v>45.153690546020478</v>
      </c>
      <c r="AB98" s="346">
        <f t="shared" si="47"/>
        <v>-80.754251808163986</v>
      </c>
      <c r="AD98">
        <f t="shared" si="52"/>
        <v>0</v>
      </c>
      <c r="AE98">
        <f t="shared" si="53"/>
        <v>0</v>
      </c>
    </row>
    <row r="99" spans="1:31" x14ac:dyDescent="0.2">
      <c r="A99" s="347">
        <v>2754.2</v>
      </c>
      <c r="B99" s="364">
        <f t="shared" si="49"/>
        <v>2.7542</v>
      </c>
      <c r="C99" s="337">
        <f t="shared" si="27"/>
        <v>6.8783915101561313</v>
      </c>
      <c r="D99" s="338">
        <f t="shared" si="28"/>
        <v>1.4248964276831748</v>
      </c>
      <c r="E99" s="338">
        <f t="shared" si="29"/>
        <v>1.0000134759773123</v>
      </c>
      <c r="F99" s="339">
        <f t="shared" si="30"/>
        <v>5.1914980456590296E-3</v>
      </c>
      <c r="G99" s="338">
        <f t="shared" si="31"/>
        <v>1</v>
      </c>
      <c r="H99" s="339">
        <f t="shared" si="32"/>
        <v>0</v>
      </c>
      <c r="I99" s="337">
        <f t="shared" si="33"/>
        <v>365.91441477174186</v>
      </c>
      <c r="J99" s="340">
        <f t="shared" si="34"/>
        <v>1.5680634439009562</v>
      </c>
      <c r="K99" s="348">
        <f t="shared" si="35"/>
        <v>1.0878616535165027</v>
      </c>
      <c r="L99" s="349">
        <f t="shared" si="36"/>
        <v>0.4046645123102664</v>
      </c>
      <c r="M99" s="337">
        <f t="shared" si="37"/>
        <v>1.0000341346967911</v>
      </c>
      <c r="N99" s="340">
        <f t="shared" si="38"/>
        <v>8.2624119769288649E-3</v>
      </c>
      <c r="O99" s="341">
        <f t="shared" si="39"/>
        <v>0.99999823428665735</v>
      </c>
      <c r="P99" s="342">
        <f t="shared" si="40"/>
        <v>3.4117210375050411E-3</v>
      </c>
      <c r="Q99" s="343">
        <f t="shared" si="41"/>
        <v>34.71043446130065</v>
      </c>
      <c r="R99" s="344">
        <f t="shared" si="42"/>
        <v>-148.6698280134043</v>
      </c>
      <c r="S99" s="346">
        <f t="shared" si="43"/>
        <v>31.330171986595701</v>
      </c>
      <c r="U99" s="319">
        <f t="shared" si="50"/>
        <v>1000000000</v>
      </c>
      <c r="V99" s="319">
        <f t="shared" si="51"/>
        <v>7585617.6399999987</v>
      </c>
      <c r="X99" s="345">
        <f t="shared" si="44"/>
        <v>47.170810916516757</v>
      </c>
      <c r="Y99" s="346">
        <f t="shared" si="45"/>
        <v>-67.131250081760712</v>
      </c>
      <c r="AA99" s="345">
        <f t="shared" si="46"/>
        <v>44.372373702878896</v>
      </c>
      <c r="AB99" s="346">
        <f t="shared" si="47"/>
        <v>-81.538577931643587</v>
      </c>
      <c r="AD99">
        <f t="shared" si="52"/>
        <v>0</v>
      </c>
      <c r="AE99">
        <f t="shared" si="53"/>
        <v>0</v>
      </c>
    </row>
    <row r="100" spans="1:31" x14ac:dyDescent="0.2">
      <c r="A100" s="347">
        <v>3020</v>
      </c>
      <c r="B100" s="364">
        <f t="shared" si="49"/>
        <v>3.02</v>
      </c>
      <c r="C100" s="337">
        <f t="shared" si="27"/>
        <v>7.5287804934171643</v>
      </c>
      <c r="D100" s="338">
        <f t="shared" si="28"/>
        <v>1.4375790088817797</v>
      </c>
      <c r="E100" s="338">
        <f t="shared" si="29"/>
        <v>1.0000162025218984</v>
      </c>
      <c r="F100" s="339">
        <f t="shared" si="30"/>
        <v>5.6925043932151498E-3</v>
      </c>
      <c r="G100" s="338">
        <f t="shared" si="31"/>
        <v>1</v>
      </c>
      <c r="H100" s="339">
        <f t="shared" si="32"/>
        <v>0</v>
      </c>
      <c r="I100" s="337">
        <f t="shared" si="33"/>
        <v>401.22752094163684</v>
      </c>
      <c r="J100" s="340">
        <f t="shared" si="34"/>
        <v>1.5683039727485972</v>
      </c>
      <c r="K100" s="348">
        <f t="shared" si="35"/>
        <v>1.1047889464197218</v>
      </c>
      <c r="L100" s="349">
        <f t="shared" si="36"/>
        <v>0.43906326621658337</v>
      </c>
      <c r="M100" s="337">
        <f t="shared" si="37"/>
        <v>1.0000410409578198</v>
      </c>
      <c r="N100" s="340">
        <f t="shared" si="38"/>
        <v>9.0597521197360274E-3</v>
      </c>
      <c r="O100" s="341">
        <f t="shared" si="39"/>
        <v>0.99999787704014087</v>
      </c>
      <c r="P100" s="342">
        <f t="shared" si="40"/>
        <v>3.7409793255256006E-3</v>
      </c>
      <c r="Q100" s="343">
        <f t="shared" si="41"/>
        <v>33.259535511138878</v>
      </c>
      <c r="R100" s="344">
        <f t="shared" si="42"/>
        <v>-147.47520804259938</v>
      </c>
      <c r="S100" s="346">
        <f t="shared" si="43"/>
        <v>32.524791957400623</v>
      </c>
      <c r="U100" s="319">
        <f t="shared" si="50"/>
        <v>1000000000</v>
      </c>
      <c r="V100" s="319">
        <f t="shared" si="51"/>
        <v>9120400</v>
      </c>
      <c r="X100" s="345">
        <f t="shared" si="44"/>
        <v>46.504640050202546</v>
      </c>
      <c r="Y100" s="346">
        <f t="shared" si="45"/>
        <v>-65.219812173075638</v>
      </c>
      <c r="AA100" s="345">
        <f t="shared" si="46"/>
        <v>43.587645619031349</v>
      </c>
      <c r="AB100" s="346">
        <f t="shared" si="47"/>
        <v>-82.255395869523753</v>
      </c>
      <c r="AD100">
        <f t="shared" si="52"/>
        <v>0</v>
      </c>
      <c r="AE100">
        <f t="shared" si="53"/>
        <v>0</v>
      </c>
    </row>
    <row r="101" spans="1:31" x14ac:dyDescent="0.2">
      <c r="A101" s="347">
        <v>3311.3</v>
      </c>
      <c r="B101" s="364">
        <f t="shared" si="49"/>
        <v>3.3113000000000001</v>
      </c>
      <c r="C101" s="337">
        <f t="shared" si="27"/>
        <v>8.2427263960303883</v>
      </c>
      <c r="D101" s="338">
        <f t="shared" si="28"/>
        <v>1.4491776540323762</v>
      </c>
      <c r="E101" s="338">
        <f t="shared" si="29"/>
        <v>1.0000194789291506</v>
      </c>
      <c r="F101" s="339">
        <f t="shared" si="30"/>
        <v>6.2415723924553468E-3</v>
      </c>
      <c r="G101" s="338">
        <f t="shared" si="31"/>
        <v>1</v>
      </c>
      <c r="H101" s="339">
        <f t="shared" si="32"/>
        <v>0</v>
      </c>
      <c r="I101" s="337">
        <f t="shared" si="33"/>
        <v>439.9284754988401</v>
      </c>
      <c r="J101" s="340">
        <f t="shared" si="34"/>
        <v>1.5685232280598589</v>
      </c>
      <c r="K101" s="348">
        <f t="shared" si="35"/>
        <v>1.1247930945497722</v>
      </c>
      <c r="L101" s="349">
        <f t="shared" si="36"/>
        <v>0.47552521096970146</v>
      </c>
      <c r="M101" s="337">
        <f t="shared" si="37"/>
        <v>1.0000493399673889</v>
      </c>
      <c r="N101" s="340">
        <f t="shared" si="38"/>
        <v>9.9335732524171508E-3</v>
      </c>
      <c r="O101" s="341">
        <f t="shared" si="39"/>
        <v>0.99999744774932342</v>
      </c>
      <c r="P101" s="342">
        <f t="shared" si="40"/>
        <v>4.1018264905177387E-3</v>
      </c>
      <c r="Q101" s="343">
        <f t="shared" si="41"/>
        <v>31.828609867567014</v>
      </c>
      <c r="R101" s="344">
        <f t="shared" si="42"/>
        <v>-146.10249031654132</v>
      </c>
      <c r="S101" s="346">
        <f t="shared" si="43"/>
        <v>33.897509683458679</v>
      </c>
      <c r="U101" s="319">
        <f t="shared" si="50"/>
        <v>1000000000</v>
      </c>
      <c r="V101" s="319">
        <f t="shared" si="51"/>
        <v>10964707.690000001</v>
      </c>
      <c r="X101" s="345">
        <f t="shared" si="44"/>
        <v>45.860607203809174</v>
      </c>
      <c r="Y101" s="346">
        <f t="shared" si="45"/>
        <v>-63.193325290490279</v>
      </c>
      <c r="AA101" s="345">
        <f t="shared" si="46"/>
        <v>42.800752821852853</v>
      </c>
      <c r="AB101" s="346">
        <f t="shared" si="47"/>
        <v>-82.909165026051014</v>
      </c>
      <c r="AD101">
        <f t="shared" si="52"/>
        <v>0</v>
      </c>
      <c r="AE101">
        <f t="shared" si="53"/>
        <v>0</v>
      </c>
    </row>
    <row r="102" spans="1:31" x14ac:dyDescent="0.2">
      <c r="A102" s="347">
        <v>3630.8</v>
      </c>
      <c r="B102" s="364">
        <f t="shared" si="49"/>
        <v>3.6308000000000002</v>
      </c>
      <c r="C102" s="337">
        <f t="shared" si="27"/>
        <v>9.0268510949186513</v>
      </c>
      <c r="D102" s="338">
        <f t="shared" si="28"/>
        <v>1.4597878744835802</v>
      </c>
      <c r="E102" s="338">
        <f t="shared" si="29"/>
        <v>1.0000234191871755</v>
      </c>
      <c r="F102" s="339">
        <f t="shared" si="30"/>
        <v>6.8437899055908856E-3</v>
      </c>
      <c r="G102" s="338">
        <f t="shared" si="31"/>
        <v>1</v>
      </c>
      <c r="H102" s="339">
        <f t="shared" si="32"/>
        <v>0</v>
      </c>
      <c r="I102" s="337">
        <f t="shared" si="33"/>
        <v>482.37598965384336</v>
      </c>
      <c r="J102" s="340">
        <f t="shared" si="34"/>
        <v>1.5687232536367777</v>
      </c>
      <c r="K102" s="348">
        <f t="shared" si="35"/>
        <v>1.1483890535744934</v>
      </c>
      <c r="L102" s="349">
        <f t="shared" si="36"/>
        <v>0.51399957052701661</v>
      </c>
      <c r="M102" s="337">
        <f t="shared" si="37"/>
        <v>1.0000593204294235</v>
      </c>
      <c r="N102" s="340">
        <f t="shared" si="38"/>
        <v>1.0891969256655979E-2</v>
      </c>
      <c r="O102" s="341">
        <f t="shared" si="39"/>
        <v>0.99999693147994617</v>
      </c>
      <c r="P102" s="342">
        <f t="shared" si="40"/>
        <v>4.4976075132283416E-3</v>
      </c>
      <c r="Q102" s="343">
        <f t="shared" si="41"/>
        <v>30.419509886373337</v>
      </c>
      <c r="R102" s="344">
        <f t="shared" si="42"/>
        <v>-144.56053747209211</v>
      </c>
      <c r="S102" s="346">
        <f t="shared" si="43"/>
        <v>35.439462527907892</v>
      </c>
      <c r="U102" s="319">
        <f t="shared" si="50"/>
        <v>1000000000</v>
      </c>
      <c r="V102" s="319">
        <f t="shared" si="51"/>
        <v>13182708.640000001</v>
      </c>
      <c r="X102" s="345">
        <f t="shared" si="44"/>
        <v>45.240776396554772</v>
      </c>
      <c r="Y102" s="346">
        <f t="shared" si="45"/>
        <v>-61.055279533441436</v>
      </c>
      <c r="AA102" s="345">
        <f t="shared" si="46"/>
        <v>42.011483647913572</v>
      </c>
      <c r="AB102" s="346">
        <f t="shared" si="47"/>
        <v>-83.505257938650686</v>
      </c>
      <c r="AD102">
        <f t="shared" si="52"/>
        <v>0</v>
      </c>
      <c r="AE102">
        <f t="shared" si="53"/>
        <v>0</v>
      </c>
    </row>
    <row r="103" spans="1:31" x14ac:dyDescent="0.2">
      <c r="A103" s="347">
        <v>3981.1</v>
      </c>
      <c r="B103" s="364">
        <f t="shared" si="49"/>
        <v>3.9811000000000001</v>
      </c>
      <c r="C103" s="337">
        <f t="shared" si="27"/>
        <v>9.8875395460852413</v>
      </c>
      <c r="D103" s="338">
        <f t="shared" si="28"/>
        <v>1.4694857139778532</v>
      </c>
      <c r="E103" s="338">
        <f t="shared" si="29"/>
        <v>1.0000281560876687</v>
      </c>
      <c r="F103" s="339">
        <f t="shared" si="30"/>
        <v>7.5040558429117403E-3</v>
      </c>
      <c r="G103" s="338">
        <f t="shared" si="31"/>
        <v>1</v>
      </c>
      <c r="H103" s="339">
        <f t="shared" si="32"/>
        <v>0</v>
      </c>
      <c r="I103" s="337">
        <f t="shared" si="33"/>
        <v>528.91548919331694</v>
      </c>
      <c r="J103" s="340">
        <f t="shared" si="34"/>
        <v>1.5689056644562067</v>
      </c>
      <c r="K103" s="348">
        <f t="shared" si="35"/>
        <v>1.176129303753537</v>
      </c>
      <c r="L103" s="349">
        <f t="shared" si="36"/>
        <v>0.55434263709947063</v>
      </c>
      <c r="M103" s="337">
        <f t="shared" si="37"/>
        <v>1.0000713186642691</v>
      </c>
      <c r="N103" s="340">
        <f t="shared" si="38"/>
        <v>1.1942732174878855E-2</v>
      </c>
      <c r="O103" s="341">
        <f t="shared" si="39"/>
        <v>0.99999631083454876</v>
      </c>
      <c r="P103" s="342">
        <f t="shared" si="40"/>
        <v>4.9315436251947571E-3</v>
      </c>
      <c r="Q103" s="343">
        <f t="shared" si="41"/>
        <v>29.035721585996171</v>
      </c>
      <c r="R103" s="344">
        <f t="shared" si="42"/>
        <v>-142.86238320315499</v>
      </c>
      <c r="S103" s="346">
        <f t="shared" si="43"/>
        <v>37.137616796845009</v>
      </c>
      <c r="U103" s="319">
        <f t="shared" si="50"/>
        <v>1000000000</v>
      </c>
      <c r="V103" s="319">
        <f t="shared" si="51"/>
        <v>15849157.209999999</v>
      </c>
      <c r="X103" s="345">
        <f t="shared" si="44"/>
        <v>44.647980662607353</v>
      </c>
      <c r="Y103" s="346">
        <f t="shared" si="45"/>
        <v>-58.81444773423781</v>
      </c>
      <c r="AA103" s="345">
        <f t="shared" si="46"/>
        <v>41.220491081483821</v>
      </c>
      <c r="AB103" s="346">
        <f t="shared" si="47"/>
        <v>-84.04793546891716</v>
      </c>
      <c r="AD103">
        <f t="shared" si="52"/>
        <v>0</v>
      </c>
      <c r="AE103">
        <f t="shared" si="53"/>
        <v>0</v>
      </c>
    </row>
    <row r="104" spans="1:31" x14ac:dyDescent="0.2">
      <c r="A104" s="347">
        <v>4365.2</v>
      </c>
      <c r="B104" s="364">
        <f t="shared" si="49"/>
        <v>4.3651999999999997</v>
      </c>
      <c r="C104" s="337">
        <f t="shared" si="27"/>
        <v>10.832165445911365</v>
      </c>
      <c r="D104" s="338">
        <f t="shared" si="28"/>
        <v>1.4783470464624076</v>
      </c>
      <c r="E104" s="338">
        <f t="shared" si="29"/>
        <v>1.0000338511316602</v>
      </c>
      <c r="F104" s="339">
        <f t="shared" si="30"/>
        <v>8.2280224564298659E-3</v>
      </c>
      <c r="G104" s="338">
        <f t="shared" si="31"/>
        <v>1</v>
      </c>
      <c r="H104" s="339">
        <f t="shared" si="32"/>
        <v>0</v>
      </c>
      <c r="I104" s="337">
        <f t="shared" si="33"/>
        <v>579.94554248157397</v>
      </c>
      <c r="J104" s="340">
        <f t="shared" si="34"/>
        <v>1.5690720261109796</v>
      </c>
      <c r="K104" s="348">
        <f t="shared" si="35"/>
        <v>1.2086382126174064</v>
      </c>
      <c r="L104" s="349">
        <f t="shared" si="36"/>
        <v>0.59637423192288519</v>
      </c>
      <c r="M104" s="337">
        <f t="shared" si="37"/>
        <v>1.0000857436936896</v>
      </c>
      <c r="N104" s="340">
        <f t="shared" si="38"/>
        <v>1.3094851468183795E-2</v>
      </c>
      <c r="O104" s="341">
        <f t="shared" si="39"/>
        <v>0.99999556465482387</v>
      </c>
      <c r="P104" s="342">
        <f t="shared" si="40"/>
        <v>5.4073517233537817E-3</v>
      </c>
      <c r="Q104" s="343">
        <f t="shared" si="41"/>
        <v>27.679917642533432</v>
      </c>
      <c r="R104" s="344">
        <f t="shared" si="42"/>
        <v>-141.02319212180791</v>
      </c>
      <c r="S104" s="346">
        <f t="shared" si="43"/>
        <v>38.976807878192091</v>
      </c>
      <c r="U104" s="319">
        <f t="shared" si="50"/>
        <v>1000000000</v>
      </c>
      <c r="V104" s="319">
        <f t="shared" si="51"/>
        <v>19054971.039999999</v>
      </c>
      <c r="X104" s="345">
        <f t="shared" si="44"/>
        <v>44.084661795166213</v>
      </c>
      <c r="Y104" s="346">
        <f t="shared" si="45"/>
        <v>-56.481758135680025</v>
      </c>
      <c r="AA104" s="345">
        <f t="shared" si="46"/>
        <v>40.428006005462223</v>
      </c>
      <c r="AB104" s="346">
        <f t="shared" si="47"/>
        <v>-84.541433986127899</v>
      </c>
      <c r="AD104">
        <f t="shared" si="52"/>
        <v>0</v>
      </c>
      <c r="AE104">
        <f t="shared" si="53"/>
        <v>0</v>
      </c>
    </row>
    <row r="105" spans="1:31" x14ac:dyDescent="0.2">
      <c r="A105" s="347">
        <v>4786.3</v>
      </c>
      <c r="B105" s="364">
        <f t="shared" si="49"/>
        <v>4.7862999999999998</v>
      </c>
      <c r="C105" s="337">
        <f t="shared" si="27"/>
        <v>11.868600590689399</v>
      </c>
      <c r="D105" s="338">
        <f t="shared" si="28"/>
        <v>1.4864403856581965</v>
      </c>
      <c r="E105" s="338">
        <f t="shared" si="29"/>
        <v>1.000040697079523</v>
      </c>
      <c r="F105" s="339">
        <f t="shared" si="30"/>
        <v>9.0217181690278678E-3</v>
      </c>
      <c r="G105" s="338">
        <f t="shared" si="31"/>
        <v>1</v>
      </c>
      <c r="H105" s="339">
        <f t="shared" si="32"/>
        <v>0</v>
      </c>
      <c r="I105" s="337">
        <f t="shared" si="33"/>
        <v>635.89128924635054</v>
      </c>
      <c r="J105" s="340">
        <f t="shared" si="34"/>
        <v>1.569223730300672</v>
      </c>
      <c r="K105" s="348">
        <f t="shared" si="35"/>
        <v>1.2465954708219371</v>
      </c>
      <c r="L105" s="349">
        <f t="shared" si="36"/>
        <v>0.63985080190176458</v>
      </c>
      <c r="M105" s="337">
        <f t="shared" si="37"/>
        <v>1.0001030836914813</v>
      </c>
      <c r="N105" s="340">
        <f t="shared" si="38"/>
        <v>1.4357913292254105E-2</v>
      </c>
      <c r="O105" s="341">
        <f t="shared" si="39"/>
        <v>0.99999466768787182</v>
      </c>
      <c r="P105" s="342">
        <f t="shared" si="40"/>
        <v>5.9289966729102308E-3</v>
      </c>
      <c r="Q105" s="343">
        <f t="shared" si="41"/>
        <v>26.354820942399158</v>
      </c>
      <c r="R105" s="344">
        <f t="shared" si="42"/>
        <v>-139.06135509120929</v>
      </c>
      <c r="S105" s="346">
        <f t="shared" si="43"/>
        <v>40.938644908790707</v>
      </c>
      <c r="U105" s="319">
        <f t="shared" si="50"/>
        <v>1000000000</v>
      </c>
      <c r="V105" s="319">
        <f t="shared" si="51"/>
        <v>22908667.690000001</v>
      </c>
      <c r="X105" s="345">
        <f t="shared" si="44"/>
        <v>43.553182449609629</v>
      </c>
      <c r="Y105" s="346">
        <f t="shared" si="45"/>
        <v>-54.071794287018413</v>
      </c>
      <c r="AA105" s="345">
        <f t="shared" si="46"/>
        <v>39.634388650884539</v>
      </c>
      <c r="AB105" s="346">
        <f t="shared" si="47"/>
        <v>-84.989560804190873</v>
      </c>
      <c r="AD105">
        <f t="shared" si="52"/>
        <v>0</v>
      </c>
      <c r="AE105">
        <f t="shared" si="53"/>
        <v>0</v>
      </c>
    </row>
    <row r="106" spans="1:31" x14ac:dyDescent="0.2">
      <c r="A106" s="347">
        <v>5248.1</v>
      </c>
      <c r="B106" s="364">
        <f t="shared" si="49"/>
        <v>5.2481</v>
      </c>
      <c r="C106" s="337">
        <f t="shared" si="27"/>
        <v>13.005953272609208</v>
      </c>
      <c r="D106" s="338">
        <f t="shared" si="28"/>
        <v>1.4938325010679498</v>
      </c>
      <c r="E106" s="338">
        <f t="shared" si="29"/>
        <v>1.0000489289423662</v>
      </c>
      <c r="F106" s="339">
        <f t="shared" si="30"/>
        <v>9.8921127586618848E-3</v>
      </c>
      <c r="G106" s="338">
        <f t="shared" si="31"/>
        <v>1</v>
      </c>
      <c r="H106" s="339">
        <f t="shared" si="32"/>
        <v>0</v>
      </c>
      <c r="I106" s="337">
        <f t="shared" si="33"/>
        <v>697.2442974365498</v>
      </c>
      <c r="J106" s="340">
        <f t="shared" si="34"/>
        <v>1.5693621087647072</v>
      </c>
      <c r="K106" s="348">
        <f t="shared" si="35"/>
        <v>1.2907600560928525</v>
      </c>
      <c r="L106" s="349">
        <f t="shared" si="36"/>
        <v>0.68449676793656677</v>
      </c>
      <c r="M106" s="337">
        <f t="shared" si="37"/>
        <v>1.00012393381145</v>
      </c>
      <c r="N106" s="340">
        <f t="shared" si="38"/>
        <v>1.5742999278770108E-2</v>
      </c>
      <c r="O106" s="341">
        <f t="shared" si="39"/>
        <v>0.99999358914660874</v>
      </c>
      <c r="P106" s="342">
        <f t="shared" si="40"/>
        <v>6.5010630081679122E-3</v>
      </c>
      <c r="Q106" s="343">
        <f t="shared" si="41"/>
        <v>25.062224787869809</v>
      </c>
      <c r="R106" s="344">
        <f t="shared" si="42"/>
        <v>-136.99706181079395</v>
      </c>
      <c r="S106" s="346">
        <f t="shared" si="43"/>
        <v>43.002938189206048</v>
      </c>
      <c r="U106" s="319">
        <f t="shared" si="50"/>
        <v>1000000000</v>
      </c>
      <c r="V106" s="319">
        <f t="shared" si="51"/>
        <v>27542553.610000003</v>
      </c>
      <c r="X106" s="345">
        <f t="shared" si="44"/>
        <v>43.055358917241662</v>
      </c>
      <c r="Y106" s="346">
        <f t="shared" si="45"/>
        <v>-51.601056941371397</v>
      </c>
      <c r="AA106" s="345">
        <f t="shared" si="46"/>
        <v>38.839616028723157</v>
      </c>
      <c r="AB106" s="346">
        <f t="shared" si="47"/>
        <v>-85.396004869422526</v>
      </c>
      <c r="AD106">
        <f t="shared" si="52"/>
        <v>0</v>
      </c>
      <c r="AE106">
        <f t="shared" si="53"/>
        <v>0</v>
      </c>
    </row>
    <row r="107" spans="1:31" x14ac:dyDescent="0.2">
      <c r="A107" s="347">
        <v>5370.3</v>
      </c>
      <c r="B107" s="364">
        <f t="shared" si="49"/>
        <v>5.3703000000000003</v>
      </c>
      <c r="C107" s="337">
        <f t="shared" si="27"/>
        <v>13.307021863793199</v>
      </c>
      <c r="D107" s="338">
        <f t="shared" si="28"/>
        <v>1.4955771213844493</v>
      </c>
      <c r="E107" s="338">
        <f t="shared" si="29"/>
        <v>1.0000512339946852</v>
      </c>
      <c r="F107" s="339">
        <f t="shared" si="30"/>
        <v>1.0122431263841054E-2</v>
      </c>
      <c r="G107" s="338">
        <f t="shared" si="31"/>
        <v>1</v>
      </c>
      <c r="H107" s="339">
        <f t="shared" si="32"/>
        <v>0</v>
      </c>
      <c r="I107" s="337">
        <f t="shared" si="33"/>
        <v>713.47933104478454</v>
      </c>
      <c r="J107" s="340">
        <f t="shared" si="34"/>
        <v>1.5693947440385447</v>
      </c>
      <c r="K107" s="348">
        <f t="shared" si="35"/>
        <v>1.3028586333629093</v>
      </c>
      <c r="L107" s="349">
        <f t="shared" si="36"/>
        <v>0.69579713908863539</v>
      </c>
      <c r="M107" s="337">
        <f t="shared" si="37"/>
        <v>1.0001297721290023</v>
      </c>
      <c r="N107" s="340">
        <f t="shared" si="38"/>
        <v>1.6109506296075413E-2</v>
      </c>
      <c r="O107" s="341">
        <f t="shared" si="39"/>
        <v>0.99999328713997659</v>
      </c>
      <c r="P107" s="342">
        <f t="shared" si="40"/>
        <v>6.6524419890755622E-3</v>
      </c>
      <c r="Q107" s="343">
        <f t="shared" si="41"/>
        <v>24.744530154143259</v>
      </c>
      <c r="R107" s="344">
        <f t="shared" si="42"/>
        <v>-136.46790388436267</v>
      </c>
      <c r="S107" s="346">
        <f t="shared" si="43"/>
        <v>43.53209611563733</v>
      </c>
      <c r="U107" s="319">
        <f t="shared" si="50"/>
        <v>1000000000</v>
      </c>
      <c r="V107" s="319">
        <f t="shared" si="51"/>
        <v>28840122.090000004</v>
      </c>
      <c r="X107" s="345">
        <f t="shared" si="44"/>
        <v>42.936415261533924</v>
      </c>
      <c r="Y107" s="346">
        <f t="shared" si="45"/>
        <v>-50.976462535420445</v>
      </c>
      <c r="AA107" s="345">
        <f t="shared" si="46"/>
        <v>38.640865050704342</v>
      </c>
      <c r="AB107" s="346">
        <f t="shared" si="47"/>
        <v>-85.49144134894226</v>
      </c>
      <c r="AD107">
        <f t="shared" si="52"/>
        <v>0</v>
      </c>
      <c r="AE107">
        <f t="shared" si="53"/>
        <v>0</v>
      </c>
    </row>
    <row r="108" spans="1:31" x14ac:dyDescent="0.2">
      <c r="A108" s="347">
        <v>5432.85</v>
      </c>
      <c r="B108" s="364">
        <f t="shared" si="49"/>
        <v>5.4328500000000002</v>
      </c>
      <c r="C108" s="337">
        <f t="shared" si="27"/>
        <v>13.46114371917399</v>
      </c>
      <c r="D108" s="338">
        <f t="shared" si="28"/>
        <v>1.4964399352101672</v>
      </c>
      <c r="E108" s="338">
        <f t="shared" si="29"/>
        <v>1.0000524343987547</v>
      </c>
      <c r="F108" s="339">
        <f t="shared" si="30"/>
        <v>1.024032301430359E-2</v>
      </c>
      <c r="G108" s="338">
        <f t="shared" si="31"/>
        <v>1</v>
      </c>
      <c r="H108" s="339">
        <f t="shared" si="32"/>
        <v>0</v>
      </c>
      <c r="I108" s="337">
        <f t="shared" si="33"/>
        <v>721.78948969375324</v>
      </c>
      <c r="J108" s="340">
        <f t="shared" si="34"/>
        <v>1.5694108808522931</v>
      </c>
      <c r="K108" s="348">
        <f t="shared" si="35"/>
        <v>1.3091149551970507</v>
      </c>
      <c r="L108" s="349">
        <f t="shared" si="36"/>
        <v>0.70150022166682036</v>
      </c>
      <c r="M108" s="337">
        <f t="shared" si="37"/>
        <v>1.000132812546465</v>
      </c>
      <c r="N108" s="340">
        <f t="shared" si="38"/>
        <v>1.6297107032864154E-2</v>
      </c>
      <c r="O108" s="341">
        <f t="shared" si="39"/>
        <v>0.99999312986407918</v>
      </c>
      <c r="P108" s="342">
        <f t="shared" si="40"/>
        <v>6.72992782354558E-3</v>
      </c>
      <c r="Q108" s="343">
        <f t="shared" si="41"/>
        <v>24.58552036264317</v>
      </c>
      <c r="R108" s="344">
        <f t="shared" si="42"/>
        <v>-136.19993512615144</v>
      </c>
      <c r="S108" s="346">
        <f t="shared" si="43"/>
        <v>43.800064873848555</v>
      </c>
      <c r="U108" s="319">
        <f t="shared" si="50"/>
        <v>1000000000</v>
      </c>
      <c r="V108" s="319">
        <f t="shared" si="51"/>
        <v>29515859.122500002</v>
      </c>
      <c r="X108" s="345">
        <f t="shared" si="44"/>
        <v>42.877415490423644</v>
      </c>
      <c r="Y108" s="346">
        <f t="shared" si="45"/>
        <v>-50.661373274889925</v>
      </c>
      <c r="AA108" s="345">
        <f t="shared" si="46"/>
        <v>38.540855030314539</v>
      </c>
      <c r="AB108" s="346">
        <f t="shared" si="47"/>
        <v>-85.538561851261534</v>
      </c>
      <c r="AD108">
        <f t="shared" si="52"/>
        <v>0</v>
      </c>
      <c r="AE108">
        <f t="shared" si="53"/>
        <v>0</v>
      </c>
    </row>
    <row r="109" spans="1:31" x14ac:dyDescent="0.2">
      <c r="A109" s="347">
        <v>5495.4</v>
      </c>
      <c r="B109" s="364">
        <f t="shared" si="49"/>
        <v>5.4954000000000001</v>
      </c>
      <c r="C109" s="337">
        <f t="shared" si="27"/>
        <v>13.615275368794343</v>
      </c>
      <c r="D109" s="338">
        <f t="shared" si="28"/>
        <v>1.4972832146935739</v>
      </c>
      <c r="E109" s="338">
        <f t="shared" si="29"/>
        <v>1.0000536487019842</v>
      </c>
      <c r="F109" s="339">
        <f t="shared" si="30"/>
        <v>1.0358214480107325E-2</v>
      </c>
      <c r="G109" s="338">
        <f t="shared" si="31"/>
        <v>1</v>
      </c>
      <c r="H109" s="339">
        <f t="shared" si="32"/>
        <v>0</v>
      </c>
      <c r="I109" s="337">
        <f t="shared" si="33"/>
        <v>730.09964852639496</v>
      </c>
      <c r="J109" s="340">
        <f t="shared" si="34"/>
        <v>1.5694266503203396</v>
      </c>
      <c r="K109" s="348">
        <f t="shared" si="35"/>
        <v>1.3154134503623391</v>
      </c>
      <c r="L109" s="349">
        <f t="shared" si="36"/>
        <v>0.70714887122754377</v>
      </c>
      <c r="M109" s="337">
        <f t="shared" si="37"/>
        <v>1.0001358881624236</v>
      </c>
      <c r="N109" s="340">
        <f t="shared" si="38"/>
        <v>1.6484706622436392E-2</v>
      </c>
      <c r="O109" s="341">
        <f t="shared" si="39"/>
        <v>0.99999297076737315</v>
      </c>
      <c r="P109" s="342">
        <f t="shared" si="40"/>
        <v>6.8074137351918562E-3</v>
      </c>
      <c r="Q109" s="343">
        <f t="shared" si="41"/>
        <v>24.428874384529315</v>
      </c>
      <c r="R109" s="344">
        <f t="shared" si="42"/>
        <v>-135.93394482238179</v>
      </c>
      <c r="S109" s="346">
        <f t="shared" si="43"/>
        <v>44.06605517761821</v>
      </c>
      <c r="U109" s="319">
        <f t="shared" si="50"/>
        <v>1000000000</v>
      </c>
      <c r="V109" s="319">
        <f t="shared" si="51"/>
        <v>30199421.159999996</v>
      </c>
      <c r="X109" s="345">
        <f t="shared" si="44"/>
        <v>42.819646949705785</v>
      </c>
      <c r="Y109" s="346">
        <f t="shared" si="45"/>
        <v>-50.349381683440647</v>
      </c>
      <c r="AA109" s="345">
        <f t="shared" si="46"/>
        <v>38.441977592918541</v>
      </c>
      <c r="AB109" s="346">
        <f t="shared" si="47"/>
        <v>-85.584563138941164</v>
      </c>
      <c r="AD109">
        <f t="shared" si="52"/>
        <v>0</v>
      </c>
      <c r="AE109">
        <f t="shared" si="53"/>
        <v>0</v>
      </c>
    </row>
    <row r="110" spans="1:31" x14ac:dyDescent="0.2">
      <c r="A110" s="347">
        <v>5559.4</v>
      </c>
      <c r="B110" s="364">
        <f t="shared" si="49"/>
        <v>5.5593999999999992</v>
      </c>
      <c r="C110" s="337">
        <f t="shared" si="27"/>
        <v>13.77298980875741</v>
      </c>
      <c r="D110" s="338">
        <f t="shared" si="28"/>
        <v>1.4981265065941707</v>
      </c>
      <c r="E110" s="338">
        <f t="shared" si="29"/>
        <v>1.0000549055406751</v>
      </c>
      <c r="F110" s="339">
        <f t="shared" si="30"/>
        <v>1.0478838543550709E-2</v>
      </c>
      <c r="G110" s="338">
        <f t="shared" si="31"/>
        <v>1</v>
      </c>
      <c r="H110" s="339">
        <f t="shared" si="32"/>
        <v>0</v>
      </c>
      <c r="I110" s="337">
        <f t="shared" si="33"/>
        <v>738.60244911433938</v>
      </c>
      <c r="J110" s="340">
        <f t="shared" si="34"/>
        <v>1.5694424180626543</v>
      </c>
      <c r="K110" s="348">
        <f t="shared" si="35"/>
        <v>1.3219009761278098</v>
      </c>
      <c r="L110" s="349">
        <f t="shared" si="36"/>
        <v>0.71287256268886146</v>
      </c>
      <c r="M110" s="337">
        <f t="shared" si="37"/>
        <v>1.0001390715071778</v>
      </c>
      <c r="N110" s="340">
        <f t="shared" si="38"/>
        <v>1.6676653842243802E-2</v>
      </c>
      <c r="O110" s="341">
        <f t="shared" si="39"/>
        <v>0.99999280609797858</v>
      </c>
      <c r="P110" s="342">
        <f t="shared" si="40"/>
        <v>6.8866959638067523E-3</v>
      </c>
      <c r="Q110" s="343">
        <f t="shared" si="41"/>
        <v>24.270983968746577</v>
      </c>
      <c r="R110" s="344">
        <f t="shared" si="42"/>
        <v>-135.6638510029247</v>
      </c>
      <c r="S110" s="346">
        <f t="shared" si="43"/>
        <v>44.336148997075298</v>
      </c>
      <c r="U110" s="319">
        <f t="shared" si="50"/>
        <v>1000000000</v>
      </c>
      <c r="V110" s="319">
        <f t="shared" si="51"/>
        <v>30906928.359999996</v>
      </c>
      <c r="X110" s="345">
        <f t="shared" si="44"/>
        <v>42.761780122767817</v>
      </c>
      <c r="Y110" s="346">
        <f t="shared" si="45"/>
        <v>-50.033339509782266</v>
      </c>
      <c r="AA110" s="345">
        <f t="shared" si="46"/>
        <v>38.341954004073756</v>
      </c>
      <c r="AB110" s="346">
        <f t="shared" si="47"/>
        <v>-85.630511493142421</v>
      </c>
      <c r="AD110">
        <f t="shared" si="52"/>
        <v>0</v>
      </c>
      <c r="AE110">
        <f t="shared" si="53"/>
        <v>0</v>
      </c>
    </row>
    <row r="111" spans="1:31" x14ac:dyDescent="0.2">
      <c r="A111" s="347">
        <v>5623.4</v>
      </c>
      <c r="B111" s="364">
        <f t="shared" si="49"/>
        <v>5.6233999999999993</v>
      </c>
      <c r="C111" s="337">
        <f t="shared" si="27"/>
        <v>13.930713821482589</v>
      </c>
      <c r="D111" s="338">
        <f t="shared" si="28"/>
        <v>1.4989507035110767</v>
      </c>
      <c r="E111" s="338">
        <f t="shared" si="29"/>
        <v>1.0000561769302931</v>
      </c>
      <c r="F111" s="339">
        <f t="shared" si="30"/>
        <v>1.059946230204605E-2</v>
      </c>
      <c r="G111" s="338">
        <f t="shared" si="31"/>
        <v>1</v>
      </c>
      <c r="H111" s="339">
        <f t="shared" si="32"/>
        <v>0</v>
      </c>
      <c r="I111" s="337">
        <f t="shared" si="33"/>
        <v>747.10524988173643</v>
      </c>
      <c r="J111" s="340">
        <f t="shared" si="34"/>
        <v>1.5694578268997943</v>
      </c>
      <c r="K111" s="348">
        <f t="shared" si="35"/>
        <v>1.3284313844161568</v>
      </c>
      <c r="L111" s="349">
        <f t="shared" si="36"/>
        <v>0.71854016435839685</v>
      </c>
      <c r="M111" s="337">
        <f t="shared" si="37"/>
        <v>1.000142291700556</v>
      </c>
      <c r="N111" s="340">
        <f t="shared" si="38"/>
        <v>1.6868599833084728E-2</v>
      </c>
      <c r="O111" s="341">
        <f t="shared" si="39"/>
        <v>0.99999263952241157</v>
      </c>
      <c r="P111" s="342">
        <f t="shared" si="40"/>
        <v>6.9659782750994617E-3</v>
      </c>
      <c r="Q111" s="343">
        <f t="shared" si="41"/>
        <v>24.115448787136529</v>
      </c>
      <c r="R111" s="344">
        <f t="shared" si="42"/>
        <v>-135.39585621788049</v>
      </c>
      <c r="S111" s="346">
        <f t="shared" si="43"/>
        <v>44.604143782119507</v>
      </c>
      <c r="U111" s="319">
        <f t="shared" si="50"/>
        <v>1000000000</v>
      </c>
      <c r="V111" s="319">
        <f t="shared" si="51"/>
        <v>31622627.559999995</v>
      </c>
      <c r="X111" s="345">
        <f t="shared" si="44"/>
        <v>42.705135341277092</v>
      </c>
      <c r="Y111" s="346">
        <f t="shared" si="45"/>
        <v>-49.720490410304073</v>
      </c>
      <c r="AA111" s="345">
        <f t="shared" si="46"/>
        <v>38.24306360395444</v>
      </c>
      <c r="AB111" s="346">
        <f t="shared" si="47"/>
        <v>-85.675365807576426</v>
      </c>
      <c r="AD111">
        <f t="shared" si="52"/>
        <v>0</v>
      </c>
      <c r="AE111">
        <f t="shared" si="53"/>
        <v>0</v>
      </c>
    </row>
    <row r="112" spans="1:31" x14ac:dyDescent="0.2">
      <c r="A112" s="347">
        <v>5688.9</v>
      </c>
      <c r="B112" s="364">
        <f t="shared" si="49"/>
        <v>5.6888999999999994</v>
      </c>
      <c r="C112" s="337">
        <f t="shared" si="27"/>
        <v>14.092144067276486</v>
      </c>
      <c r="D112" s="338">
        <f t="shared" si="28"/>
        <v>1.4997751139140296</v>
      </c>
      <c r="E112" s="338">
        <f t="shared" si="29"/>
        <v>1.0000574931845267</v>
      </c>
      <c r="F112" s="339">
        <f t="shared" si="30"/>
        <v>1.0722912860466781E-2</v>
      </c>
      <c r="G112" s="338">
        <f t="shared" si="31"/>
        <v>1</v>
      </c>
      <c r="H112" s="339">
        <f t="shared" si="32"/>
        <v>0</v>
      </c>
      <c r="I112" s="337">
        <f t="shared" si="33"/>
        <v>755.80733522161029</v>
      </c>
      <c r="J112" s="340">
        <f t="shared" si="34"/>
        <v>1.5694732379002017</v>
      </c>
      <c r="K112" s="348">
        <f t="shared" si="35"/>
        <v>1.335158594399587</v>
      </c>
      <c r="L112" s="349">
        <f t="shared" si="36"/>
        <v>0.72428300513420374</v>
      </c>
      <c r="M112" s="337">
        <f t="shared" si="37"/>
        <v>1.0001456255210488</v>
      </c>
      <c r="N112" s="340">
        <f t="shared" si="38"/>
        <v>1.7065043270829187E-2</v>
      </c>
      <c r="O112" s="341">
        <f t="shared" si="39"/>
        <v>0.99999246706903677</v>
      </c>
      <c r="P112" s="342">
        <f t="shared" si="40"/>
        <v>7.0471188521634455E-3</v>
      </c>
      <c r="Q112" s="343">
        <f t="shared" si="41"/>
        <v>23.958646968261132</v>
      </c>
      <c r="R112" s="344">
        <f t="shared" si="42"/>
        <v>-135.12376509719027</v>
      </c>
      <c r="S112" s="346">
        <f t="shared" si="43"/>
        <v>44.876234902809728</v>
      </c>
      <c r="U112" s="319">
        <f t="shared" si="50"/>
        <v>1000000000</v>
      </c>
      <c r="V112" s="319">
        <f t="shared" si="51"/>
        <v>32363583.209999997</v>
      </c>
      <c r="X112" s="345">
        <f t="shared" si="44"/>
        <v>42.648394668637835</v>
      </c>
      <c r="Y112" s="346">
        <f t="shared" si="45"/>
        <v>-49.40358823624981</v>
      </c>
      <c r="AA112" s="345">
        <f t="shared" si="46"/>
        <v>38.14300245771831</v>
      </c>
      <c r="AB112" s="346">
        <f t="shared" si="47"/>
        <v>-85.720176860940498</v>
      </c>
      <c r="AD112">
        <f t="shared" si="52"/>
        <v>0</v>
      </c>
      <c r="AE112">
        <f t="shared" si="53"/>
        <v>0</v>
      </c>
    </row>
    <row r="113" spans="1:31" x14ac:dyDescent="0.2">
      <c r="A113" s="347">
        <v>5754.4</v>
      </c>
      <c r="B113" s="364">
        <f t="shared" si="49"/>
        <v>5.7543999999999995</v>
      </c>
      <c r="C113" s="337">
        <f t="shared" si="27"/>
        <v>14.253583673880165</v>
      </c>
      <c r="D113" s="338">
        <f t="shared" si="28"/>
        <v>1.5005808499029212</v>
      </c>
      <c r="E113" s="338">
        <f t="shared" si="29"/>
        <v>1.0000588246796365</v>
      </c>
      <c r="F113" s="339">
        <f t="shared" si="30"/>
        <v>1.0846363092040602E-2</v>
      </c>
      <c r="G113" s="338">
        <f t="shared" si="31"/>
        <v>1</v>
      </c>
      <c r="H113" s="339">
        <f t="shared" si="32"/>
        <v>0</v>
      </c>
      <c r="I113" s="337">
        <f t="shared" si="33"/>
        <v>764.50942073690123</v>
      </c>
      <c r="J113" s="340">
        <f t="shared" si="34"/>
        <v>1.5694882980668887</v>
      </c>
      <c r="K113" s="348">
        <f t="shared" si="35"/>
        <v>1.3419293958743792</v>
      </c>
      <c r="L113" s="349">
        <f t="shared" si="36"/>
        <v>0.72996808000205438</v>
      </c>
      <c r="M113" s="337">
        <f t="shared" si="37"/>
        <v>1.0001489979369274</v>
      </c>
      <c r="N113" s="340">
        <f t="shared" si="38"/>
        <v>1.7261485391373767E-2</v>
      </c>
      <c r="O113" s="341">
        <f t="shared" si="39"/>
        <v>0.99999229261912592</v>
      </c>
      <c r="P113" s="342">
        <f t="shared" si="40"/>
        <v>7.1282595178433468E-3</v>
      </c>
      <c r="Q113" s="343">
        <f t="shared" si="41"/>
        <v>23.804192296375032</v>
      </c>
      <c r="R113" s="344">
        <f t="shared" si="42"/>
        <v>-134.85389360116045</v>
      </c>
      <c r="S113" s="346">
        <f t="shared" si="43"/>
        <v>45.146106398839549</v>
      </c>
      <c r="U113" s="319">
        <f t="shared" si="50"/>
        <v>1000000000</v>
      </c>
      <c r="V113" s="319">
        <f t="shared" si="51"/>
        <v>33113119.359999996</v>
      </c>
      <c r="X113" s="345">
        <f t="shared" si="44"/>
        <v>42.592866819346924</v>
      </c>
      <c r="Y113" s="346">
        <f t="shared" si="45"/>
        <v>-49.089975628163451</v>
      </c>
      <c r="AA113" s="345">
        <f t="shared" si="46"/>
        <v>38.044075635123122</v>
      </c>
      <c r="AB113" s="346">
        <f t="shared" si="47"/>
        <v>-85.763917972996992</v>
      </c>
      <c r="AD113">
        <f t="shared" si="52"/>
        <v>0</v>
      </c>
      <c r="AE113">
        <f t="shared" si="53"/>
        <v>0</v>
      </c>
    </row>
    <row r="114" spans="1:31" x14ac:dyDescent="0.2">
      <c r="A114" s="347">
        <v>5821.4</v>
      </c>
      <c r="B114" s="364">
        <f t="shared" si="49"/>
        <v>5.8213999999999997</v>
      </c>
      <c r="C114" s="337">
        <f t="shared" si="27"/>
        <v>14.418729727738134</v>
      </c>
      <c r="D114" s="338">
        <f t="shared" si="28"/>
        <v>1.5013863699218641</v>
      </c>
      <c r="E114" s="338">
        <f t="shared" si="29"/>
        <v>1.0000602024353518</v>
      </c>
      <c r="F114" s="339">
        <f t="shared" si="30"/>
        <v>1.0972640086072757E-2</v>
      </c>
      <c r="G114" s="338">
        <f t="shared" si="31"/>
        <v>1</v>
      </c>
      <c r="H114" s="339">
        <f t="shared" si="32"/>
        <v>0</v>
      </c>
      <c r="I114" s="337">
        <f t="shared" si="33"/>
        <v>773.41079082862154</v>
      </c>
      <c r="J114" s="340">
        <f t="shared" si="34"/>
        <v>1.5695033524913455</v>
      </c>
      <c r="K114" s="348">
        <f t="shared" si="35"/>
        <v>1.3488996698583937</v>
      </c>
      <c r="L114" s="349">
        <f t="shared" si="36"/>
        <v>0.73572410878708128</v>
      </c>
      <c r="M114" s="337">
        <f t="shared" si="37"/>
        <v>1.0001524875145991</v>
      </c>
      <c r="N114" s="340">
        <f t="shared" si="38"/>
        <v>1.7462424807850267E-2</v>
      </c>
      <c r="O114" s="341">
        <f t="shared" si="39"/>
        <v>0.99999211210855521</v>
      </c>
      <c r="P114" s="342">
        <f t="shared" si="40"/>
        <v>7.2112584594536079E-3</v>
      </c>
      <c r="Q114" s="343">
        <f t="shared" si="41"/>
        <v>23.648568812977505</v>
      </c>
      <c r="R114" s="344">
        <f t="shared" si="42"/>
        <v>-134.58014622784549</v>
      </c>
      <c r="S114" s="346">
        <f t="shared" si="43"/>
        <v>45.419853772154511</v>
      </c>
      <c r="U114" s="319">
        <f t="shared" si="50"/>
        <v>1000000000</v>
      </c>
      <c r="V114" s="319">
        <f t="shared" si="51"/>
        <v>33888697.959999993</v>
      </c>
      <c r="X114" s="345">
        <f t="shared" si="44"/>
        <v>42.53728843603529</v>
      </c>
      <c r="Y114" s="346">
        <f t="shared" si="45"/>
        <v>-48.772555007149194</v>
      </c>
      <c r="AA114" s="345">
        <f t="shared" si="46"/>
        <v>37.944030535037221</v>
      </c>
      <c r="AB114" s="346">
        <f t="shared" si="47"/>
        <v>-85.80759122069631</v>
      </c>
      <c r="AD114">
        <f t="shared" si="52"/>
        <v>0</v>
      </c>
      <c r="AE114">
        <f t="shared" si="53"/>
        <v>0</v>
      </c>
    </row>
    <row r="115" spans="1:31" x14ac:dyDescent="0.2">
      <c r="A115" s="347">
        <v>5888.4</v>
      </c>
      <c r="B115" s="364">
        <f t="shared" si="49"/>
        <v>5.8883999999999999</v>
      </c>
      <c r="C115" s="337">
        <f t="shared" si="27"/>
        <v>14.583884925478477</v>
      </c>
      <c r="D115" s="338">
        <f t="shared" si="28"/>
        <v>1.5021736462199189</v>
      </c>
      <c r="E115" s="338">
        <f t="shared" si="29"/>
        <v>1.0000615961378621</v>
      </c>
      <c r="F115" s="339">
        <f t="shared" si="30"/>
        <v>1.1098916730155051E-2</v>
      </c>
      <c r="G115" s="338">
        <f t="shared" si="31"/>
        <v>1</v>
      </c>
      <c r="H115" s="339">
        <f t="shared" si="32"/>
        <v>0</v>
      </c>
      <c r="I115" s="337">
        <f t="shared" si="33"/>
        <v>782.31216109163552</v>
      </c>
      <c r="J115" s="340">
        <f t="shared" si="34"/>
        <v>1.5695180643287596</v>
      </c>
      <c r="K115" s="348">
        <f t="shared" si="35"/>
        <v>1.3559141750618244</v>
      </c>
      <c r="L115" s="349">
        <f t="shared" si="36"/>
        <v>0.74142076975344839</v>
      </c>
      <c r="M115" s="337">
        <f t="shared" si="37"/>
        <v>1.0001560174747937</v>
      </c>
      <c r="N115" s="340">
        <f t="shared" si="38"/>
        <v>1.7663362814044938E-2</v>
      </c>
      <c r="O115" s="341">
        <f t="shared" si="39"/>
        <v>0.99999192950899551</v>
      </c>
      <c r="P115" s="342">
        <f t="shared" si="40"/>
        <v>7.2942574959445096E-3</v>
      </c>
      <c r="Q115" s="343">
        <f t="shared" si="41"/>
        <v>23.495281262741514</v>
      </c>
      <c r="R115" s="344">
        <f t="shared" si="42"/>
        <v>-134.30873540766385</v>
      </c>
      <c r="S115" s="346">
        <f t="shared" si="43"/>
        <v>45.691264592336154</v>
      </c>
      <c r="U115" s="319">
        <f t="shared" si="50"/>
        <v>1000000000</v>
      </c>
      <c r="V115" s="319">
        <f t="shared" si="51"/>
        <v>34673254.559999995</v>
      </c>
      <c r="X115" s="345">
        <f t="shared" si="44"/>
        <v>42.482911746674219</v>
      </c>
      <c r="Y115" s="346">
        <f t="shared" si="45"/>
        <v>-48.45851620199204</v>
      </c>
      <c r="AA115" s="345">
        <f t="shared" si="46"/>
        <v>37.845119674162298</v>
      </c>
      <c r="AB115" s="346">
        <f t="shared" si="47"/>
        <v>-85.850219205671834</v>
      </c>
      <c r="AD115">
        <f t="shared" si="52"/>
        <v>0</v>
      </c>
      <c r="AE115">
        <f t="shared" si="53"/>
        <v>0</v>
      </c>
    </row>
    <row r="116" spans="1:31" x14ac:dyDescent="0.2">
      <c r="A116" s="347">
        <v>5957</v>
      </c>
      <c r="B116" s="364">
        <f t="shared" si="49"/>
        <v>5.9569999999999999</v>
      </c>
      <c r="C116" s="337">
        <f t="shared" si="27"/>
        <v>14.752993281263292</v>
      </c>
      <c r="D116" s="338">
        <f t="shared" si="28"/>
        <v>1.5029614595888261</v>
      </c>
      <c r="E116" s="338">
        <f t="shared" si="29"/>
        <v>1.0000630396453216</v>
      </c>
      <c r="F116" s="339">
        <f t="shared" si="30"/>
        <v>1.1228208569097665E-2</v>
      </c>
      <c r="G116" s="338">
        <f t="shared" si="31"/>
        <v>1</v>
      </c>
      <c r="H116" s="339">
        <f t="shared" si="32"/>
        <v>0</v>
      </c>
      <c r="I116" s="337">
        <f t="shared" si="33"/>
        <v>791.42610156222349</v>
      </c>
      <c r="J116" s="340">
        <f t="shared" si="34"/>
        <v>1.5695327846093206</v>
      </c>
      <c r="K116" s="348">
        <f t="shared" si="35"/>
        <v>1.3631413059383608</v>
      </c>
      <c r="L116" s="349">
        <f t="shared" si="36"/>
        <v>0.7471925331436452</v>
      </c>
      <c r="M116" s="337">
        <f t="shared" si="37"/>
        <v>1.0001596735726752</v>
      </c>
      <c r="N116" s="340">
        <f t="shared" si="38"/>
        <v>1.7869097861658828E-2</v>
      </c>
      <c r="O116" s="341">
        <f t="shared" si="39"/>
        <v>0.99999174038445648</v>
      </c>
      <c r="P116" s="342">
        <f t="shared" si="40"/>
        <v>7.3792386984252887E-3</v>
      </c>
      <c r="Q116" s="343">
        <f t="shared" si="41"/>
        <v>23.340693157236117</v>
      </c>
      <c r="R116" s="344">
        <f t="shared" si="42"/>
        <v>-134.03326845324386</v>
      </c>
      <c r="S116" s="346">
        <f t="shared" si="43"/>
        <v>45.966731546756137</v>
      </c>
      <c r="U116" s="319">
        <f t="shared" si="50"/>
        <v>1000000000</v>
      </c>
      <c r="V116" s="319">
        <f t="shared" si="51"/>
        <v>35485849</v>
      </c>
      <c r="X116" s="345">
        <f t="shared" si="44"/>
        <v>42.428447776691584</v>
      </c>
      <c r="Y116" s="346">
        <f t="shared" si="45"/>
        <v>-48.140449678897788</v>
      </c>
      <c r="AA116" s="345">
        <f t="shared" si="46"/>
        <v>37.744995538639536</v>
      </c>
      <c r="AB116" s="346">
        <f t="shared" si="47"/>
        <v>-85.892818774346082</v>
      </c>
      <c r="AD116">
        <f t="shared" si="52"/>
        <v>0</v>
      </c>
      <c r="AE116">
        <f t="shared" si="53"/>
        <v>0</v>
      </c>
    </row>
    <row r="117" spans="1:31" x14ac:dyDescent="0.2">
      <c r="A117" s="347">
        <v>6025.6</v>
      </c>
      <c r="B117" s="364">
        <f t="shared" si="49"/>
        <v>6.0256000000000007</v>
      </c>
      <c r="C117" s="337">
        <f t="shared" si="27"/>
        <v>14.922110585953561</v>
      </c>
      <c r="D117" s="338">
        <f t="shared" si="28"/>
        <v>1.5037314163181674</v>
      </c>
      <c r="E117" s="338">
        <f t="shared" si="29"/>
        <v>1.000064499870166</v>
      </c>
      <c r="F117" s="339">
        <f t="shared" si="30"/>
        <v>1.1357500032635604E-2</v>
      </c>
      <c r="G117" s="338">
        <f t="shared" si="31"/>
        <v>1</v>
      </c>
      <c r="H117" s="339">
        <f t="shared" si="32"/>
        <v>0</v>
      </c>
      <c r="I117" s="337">
        <f t="shared" si="33"/>
        <v>800.54004220039826</v>
      </c>
      <c r="J117" s="340">
        <f t="shared" si="34"/>
        <v>1.569547169716736</v>
      </c>
      <c r="K117" s="348">
        <f t="shared" si="35"/>
        <v>1.3704133676452657</v>
      </c>
      <c r="L117" s="349">
        <f t="shared" si="36"/>
        <v>0.75290322968677559</v>
      </c>
      <c r="M117" s="337">
        <f t="shared" si="37"/>
        <v>1.000163372003914</v>
      </c>
      <c r="N117" s="340">
        <f t="shared" si="38"/>
        <v>1.807483139643545E-2</v>
      </c>
      <c r="O117" s="341">
        <f t="shared" si="39"/>
        <v>0.99999154907000742</v>
      </c>
      <c r="P117" s="342">
        <f t="shared" si="40"/>
        <v>7.4642200026892635E-3</v>
      </c>
      <c r="Q117" s="343">
        <f t="shared" si="41"/>
        <v>23.188433549763921</v>
      </c>
      <c r="R117" s="344">
        <f t="shared" si="42"/>
        <v>-133.76025799800334</v>
      </c>
      <c r="S117" s="346">
        <f t="shared" si="43"/>
        <v>46.23974200199666</v>
      </c>
      <c r="U117" s="319">
        <f t="shared" si="50"/>
        <v>1000000000</v>
      </c>
      <c r="V117" s="319">
        <f t="shared" si="51"/>
        <v>36307855.360000007</v>
      </c>
      <c r="X117" s="345">
        <f t="shared" si="44"/>
        <v>42.375176015724065</v>
      </c>
      <c r="Y117" s="346">
        <f t="shared" si="45"/>
        <v>-47.825862737726752</v>
      </c>
      <c r="AA117" s="345">
        <f t="shared" si="46"/>
        <v>37.646007692134866</v>
      </c>
      <c r="AB117" s="346">
        <f t="shared" si="47"/>
        <v>-85.934395260276588</v>
      </c>
      <c r="AD117">
        <f t="shared" si="52"/>
        <v>0</v>
      </c>
      <c r="AE117">
        <f t="shared" si="53"/>
        <v>0</v>
      </c>
    </row>
    <row r="118" spans="1:31" x14ac:dyDescent="0.2">
      <c r="A118" s="347">
        <v>6095.8</v>
      </c>
      <c r="B118" s="364">
        <f t="shared" si="49"/>
        <v>6.0958000000000006</v>
      </c>
      <c r="C118" s="337">
        <f t="shared" si="27"/>
        <v>15.095181268196272</v>
      </c>
      <c r="D118" s="338">
        <f t="shared" si="28"/>
        <v>1.5045014702231543</v>
      </c>
      <c r="E118" s="338">
        <f t="shared" si="29"/>
        <v>1.0000660114594531</v>
      </c>
      <c r="F118" s="339">
        <f t="shared" si="30"/>
        <v>1.1489806647364128E-2</v>
      </c>
      <c r="G118" s="338">
        <f t="shared" si="31"/>
        <v>1</v>
      </c>
      <c r="H118" s="339">
        <f t="shared" si="32"/>
        <v>0</v>
      </c>
      <c r="I118" s="337">
        <f t="shared" si="33"/>
        <v>809.86655305020429</v>
      </c>
      <c r="J118" s="340">
        <f t="shared" si="34"/>
        <v>1.5695615551521562</v>
      </c>
      <c r="K118" s="348">
        <f t="shared" si="35"/>
        <v>1.3779008128764489</v>
      </c>
      <c r="L118" s="349">
        <f t="shared" si="36"/>
        <v>0.75868452374657314</v>
      </c>
      <c r="M118" s="337">
        <f t="shared" si="37"/>
        <v>1.0001672005213729</v>
      </c>
      <c r="N118" s="340">
        <f t="shared" si="38"/>
        <v>1.8285361796674306E-2</v>
      </c>
      <c r="O118" s="341">
        <f t="shared" si="39"/>
        <v>0.9999913510263162</v>
      </c>
      <c r="P118" s="342">
        <f t="shared" si="40"/>
        <v>7.5511834847843675E-3</v>
      </c>
      <c r="Q118" s="343">
        <f t="shared" si="41"/>
        <v>23.034972913648915</v>
      </c>
      <c r="R118" s="344">
        <f t="shared" si="42"/>
        <v>-133.48342384468904</v>
      </c>
      <c r="S118" s="346">
        <f t="shared" si="43"/>
        <v>46.516576155310958</v>
      </c>
      <c r="U118" s="319">
        <f t="shared" si="50"/>
        <v>1000000000</v>
      </c>
      <c r="V118" s="319">
        <f t="shared" si="51"/>
        <v>37158777.640000001</v>
      </c>
      <c r="X118" s="345">
        <f t="shared" si="44"/>
        <v>42.321862098379661</v>
      </c>
      <c r="Y118" s="346">
        <f t="shared" si="45"/>
        <v>-47.507505715741445</v>
      </c>
      <c r="AA118" s="345">
        <f t="shared" si="46"/>
        <v>37.545860973364263</v>
      </c>
      <c r="AB118" s="346">
        <f t="shared" si="47"/>
        <v>-85.975918128947555</v>
      </c>
      <c r="AD118">
        <f t="shared" si="52"/>
        <v>0</v>
      </c>
      <c r="AE118">
        <f t="shared" si="53"/>
        <v>0</v>
      </c>
    </row>
    <row r="119" spans="1:31" x14ac:dyDescent="0.2">
      <c r="A119" s="347">
        <v>6166</v>
      </c>
      <c r="B119" s="364">
        <f t="shared" si="49"/>
        <v>6.1660000000000004</v>
      </c>
      <c r="C119" s="337">
        <f t="shared" si="27"/>
        <v>15.268260698692863</v>
      </c>
      <c r="D119" s="338">
        <f t="shared" si="28"/>
        <v>1.5052540660625373</v>
      </c>
      <c r="E119" s="338">
        <f t="shared" si="29"/>
        <v>1.0000675405548829</v>
      </c>
      <c r="F119" s="339">
        <f t="shared" si="30"/>
        <v>1.1622112859817117E-2</v>
      </c>
      <c r="G119" s="338">
        <f t="shared" si="31"/>
        <v>1</v>
      </c>
      <c r="H119" s="339">
        <f t="shared" si="32"/>
        <v>0</v>
      </c>
      <c r="I119" s="337">
        <f t="shared" si="33"/>
        <v>819.19306406378882</v>
      </c>
      <c r="J119" s="340">
        <f t="shared" si="34"/>
        <v>1.5695756130312859</v>
      </c>
      <c r="K119" s="348">
        <f t="shared" si="35"/>
        <v>1.3854338135019353</v>
      </c>
      <c r="L119" s="349">
        <f t="shared" si="36"/>
        <v>0.7644031381132923</v>
      </c>
      <c r="M119" s="337">
        <f t="shared" si="37"/>
        <v>1.0001710733689513</v>
      </c>
      <c r="N119" s="340">
        <f t="shared" si="38"/>
        <v>1.8495890575819001E-2</v>
      </c>
      <c r="O119" s="341">
        <f t="shared" si="39"/>
        <v>0.99999115068941724</v>
      </c>
      <c r="P119" s="342">
        <f t="shared" si="40"/>
        <v>7.6381470759493628E-3</v>
      </c>
      <c r="Q119" s="343">
        <f t="shared" si="41"/>
        <v>22.883830084774193</v>
      </c>
      <c r="R119" s="344">
        <f t="shared" si="42"/>
        <v>-133.20916186859768</v>
      </c>
      <c r="S119" s="346">
        <f t="shared" si="43"/>
        <v>46.790838131402325</v>
      </c>
      <c r="U119" s="319">
        <f t="shared" si="50"/>
        <v>1000000000</v>
      </c>
      <c r="V119" s="319">
        <f t="shared" si="51"/>
        <v>38019556</v>
      </c>
      <c r="X119" s="345">
        <f t="shared" si="44"/>
        <v>42.269728932191626</v>
      </c>
      <c r="Y119" s="346">
        <f t="shared" si="45"/>
        <v>-47.192721115159934</v>
      </c>
      <c r="AA119" s="345">
        <f t="shared" si="46"/>
        <v>37.446851310677573</v>
      </c>
      <c r="AB119" s="346">
        <f t="shared" si="47"/>
        <v>-86.016440753437749</v>
      </c>
      <c r="AD119">
        <f t="shared" si="52"/>
        <v>0</v>
      </c>
      <c r="AE119">
        <f t="shared" si="53"/>
        <v>0</v>
      </c>
    </row>
    <row r="120" spans="1:31" x14ac:dyDescent="0.2">
      <c r="A120" s="347">
        <v>6237.8</v>
      </c>
      <c r="B120" s="364">
        <f t="shared" si="49"/>
        <v>6.2378</v>
      </c>
      <c r="C120" s="337">
        <f t="shared" si="27"/>
        <v>15.44529370258557</v>
      </c>
      <c r="D120" s="338">
        <f t="shared" si="28"/>
        <v>1.5060063664865047</v>
      </c>
      <c r="E120" s="338">
        <f t="shared" si="29"/>
        <v>1.0000691226105973</v>
      </c>
      <c r="F120" s="339">
        <f t="shared" si="30"/>
        <v>1.175743417752078E-2</v>
      </c>
      <c r="G120" s="338">
        <f t="shared" si="31"/>
        <v>1</v>
      </c>
      <c r="H120" s="339">
        <f t="shared" si="32"/>
        <v>0</v>
      </c>
      <c r="I120" s="337">
        <f t="shared" si="33"/>
        <v>828.73214529262168</v>
      </c>
      <c r="J120" s="340">
        <f t="shared" si="34"/>
        <v>1.5695896640048108</v>
      </c>
      <c r="K120" s="348">
        <f t="shared" si="35"/>
        <v>1.3931848608772253</v>
      </c>
      <c r="L120" s="349">
        <f t="shared" si="36"/>
        <v>0.7701879255858779</v>
      </c>
      <c r="M120" s="337">
        <f t="shared" si="37"/>
        <v>1.0001750803432168</v>
      </c>
      <c r="N120" s="340">
        <f t="shared" si="38"/>
        <v>1.8711216035327036E-2</v>
      </c>
      <c r="O120" s="341">
        <f t="shared" si="39"/>
        <v>0.99999094341425654</v>
      </c>
      <c r="P120" s="342">
        <f t="shared" si="40"/>
        <v>7.7270928574025323E-3</v>
      </c>
      <c r="Q120" s="343">
        <f t="shared" si="41"/>
        <v>22.731579645261192</v>
      </c>
      <c r="R120" s="344">
        <f t="shared" si="42"/>
        <v>-132.93130677897287</v>
      </c>
      <c r="S120" s="346">
        <f t="shared" si="43"/>
        <v>47.068693221027132</v>
      </c>
      <c r="U120" s="319">
        <f t="shared" si="50"/>
        <v>1000000000</v>
      </c>
      <c r="V120" s="319">
        <f t="shared" si="51"/>
        <v>38910148.840000004</v>
      </c>
      <c r="X120" s="345">
        <f t="shared" si="44"/>
        <v>42.217595039517846</v>
      </c>
      <c r="Y120" s="346">
        <f t="shared" si="45"/>
        <v>-46.874419508769471</v>
      </c>
      <c r="AA120" s="345">
        <f t="shared" si="46"/>
        <v>37.346734763838356</v>
      </c>
      <c r="AB120" s="346">
        <f t="shared" si="47"/>
        <v>-86.056887270203376</v>
      </c>
      <c r="AD120">
        <f t="shared" si="52"/>
        <v>0</v>
      </c>
      <c r="AE120">
        <f t="shared" si="53"/>
        <v>0</v>
      </c>
    </row>
    <row r="121" spans="1:31" x14ac:dyDescent="0.2">
      <c r="A121" s="347">
        <v>6309.6</v>
      </c>
      <c r="B121" s="364">
        <f t="shared" si="49"/>
        <v>6.3096000000000005</v>
      </c>
      <c r="C121" s="337">
        <f t="shared" si="27"/>
        <v>15.622335249716095</v>
      </c>
      <c r="D121" s="338">
        <f t="shared" si="28"/>
        <v>1.5067416162916527</v>
      </c>
      <c r="E121" s="338">
        <f t="shared" si="29"/>
        <v>1.0000707229793784</v>
      </c>
      <c r="F121" s="339">
        <f t="shared" si="30"/>
        <v>1.1892755064605017E-2</v>
      </c>
      <c r="G121" s="338">
        <f t="shared" si="31"/>
        <v>1</v>
      </c>
      <c r="H121" s="339">
        <f t="shared" si="32"/>
        <v>0</v>
      </c>
      <c r="I121" s="337">
        <f t="shared" si="33"/>
        <v>838.27122668134723</v>
      </c>
      <c r="J121" s="340">
        <f t="shared" si="34"/>
        <v>1.5696033951931048</v>
      </c>
      <c r="K121" s="348">
        <f t="shared" si="35"/>
        <v>1.4009820126893191</v>
      </c>
      <c r="L121" s="349">
        <f t="shared" si="36"/>
        <v>0.77590851236657998</v>
      </c>
      <c r="M121" s="337">
        <f t="shared" si="37"/>
        <v>1.0001791336902806</v>
      </c>
      <c r="N121" s="340">
        <f t="shared" si="38"/>
        <v>1.8926539759553499E-2</v>
      </c>
      <c r="O121" s="341">
        <f t="shared" si="39"/>
        <v>0.99999073374021441</v>
      </c>
      <c r="P121" s="342">
        <f t="shared" si="40"/>
        <v>7.8160387556119003E-3</v>
      </c>
      <c r="Q121" s="343">
        <f t="shared" si="41"/>
        <v>22.58163328496963</v>
      </c>
      <c r="R121" s="344">
        <f t="shared" si="42"/>
        <v>-132.65613479913534</v>
      </c>
      <c r="S121" s="346">
        <f t="shared" si="43"/>
        <v>47.343865200864656</v>
      </c>
      <c r="U121" s="319">
        <f t="shared" si="50"/>
        <v>1000000000</v>
      </c>
      <c r="V121" s="319">
        <f t="shared" si="51"/>
        <v>39811052.160000004</v>
      </c>
      <c r="X121" s="345">
        <f t="shared" si="44"/>
        <v>42.166628603503106</v>
      </c>
      <c r="Y121" s="346">
        <f t="shared" si="45"/>
        <v>-46.559777909301538</v>
      </c>
      <c r="AA121" s="345">
        <f t="shared" si="46"/>
        <v>37.24775483956153</v>
      </c>
      <c r="AB121" s="346">
        <f t="shared" si="47"/>
        <v>-86.096356889833785</v>
      </c>
      <c r="AD121">
        <f t="shared" si="52"/>
        <v>0</v>
      </c>
      <c r="AE121">
        <f t="shared" si="53"/>
        <v>0</v>
      </c>
    </row>
    <row r="122" spans="1:31" x14ac:dyDescent="0.2">
      <c r="A122" s="347">
        <v>6383.05</v>
      </c>
      <c r="B122" s="364">
        <f t="shared" si="49"/>
        <v>6.3830499999999999</v>
      </c>
      <c r="C122" s="337">
        <f t="shared" si="27"/>
        <v>15.803453840981204</v>
      </c>
      <c r="D122" s="338">
        <f t="shared" si="28"/>
        <v>1.507476716308644</v>
      </c>
      <c r="E122" s="338">
        <f t="shared" si="29"/>
        <v>1.0000723790745121</v>
      </c>
      <c r="F122" s="339">
        <f t="shared" si="30"/>
        <v>1.2031185242781278E-2</v>
      </c>
      <c r="G122" s="338">
        <f t="shared" si="31"/>
        <v>1</v>
      </c>
      <c r="H122" s="339">
        <f t="shared" si="32"/>
        <v>0</v>
      </c>
      <c r="I122" s="337">
        <f t="shared" si="33"/>
        <v>848.02952110303261</v>
      </c>
      <c r="J122" s="340">
        <f t="shared" si="34"/>
        <v>1.5696171222897832</v>
      </c>
      <c r="K122" s="348">
        <f t="shared" si="35"/>
        <v>1.4090052547472429</v>
      </c>
      <c r="L122" s="349">
        <f t="shared" si="36"/>
        <v>0.78169485468210487</v>
      </c>
      <c r="M122" s="337">
        <f t="shared" si="37"/>
        <v>1.0001833281682526</v>
      </c>
      <c r="N122" s="340">
        <f t="shared" si="38"/>
        <v>1.914680991457186E-2</v>
      </c>
      <c r="O122" s="341">
        <f t="shared" si="39"/>
        <v>0.99999051676557904</v>
      </c>
      <c r="P122" s="342">
        <f t="shared" si="40"/>
        <v>7.9070287973718525E-3</v>
      </c>
      <c r="Q122" s="343">
        <f t="shared" si="41"/>
        <v>22.430564786890031</v>
      </c>
      <c r="R122" s="344">
        <f t="shared" si="42"/>
        <v>-132.37740886915662</v>
      </c>
      <c r="S122" s="346">
        <f t="shared" si="43"/>
        <v>47.622591130843375</v>
      </c>
      <c r="U122" s="319">
        <f t="shared" si="50"/>
        <v>1000000000</v>
      </c>
      <c r="V122" s="319">
        <f t="shared" si="51"/>
        <v>40743327.302500002</v>
      </c>
      <c r="X122" s="345">
        <f t="shared" si="44"/>
        <v>42.115665015302042</v>
      </c>
      <c r="Y122" s="346">
        <f t="shared" si="45"/>
        <v>-46.241651970380389</v>
      </c>
      <c r="AA122" s="345">
        <f t="shared" si="46"/>
        <v>37.147649929682991</v>
      </c>
      <c r="AB122" s="346">
        <f t="shared" si="47"/>
        <v>-86.135756898776236</v>
      </c>
      <c r="AD122">
        <f t="shared" si="52"/>
        <v>0</v>
      </c>
      <c r="AE122">
        <f t="shared" si="53"/>
        <v>0</v>
      </c>
    </row>
    <row r="123" spans="1:31" x14ac:dyDescent="0.2">
      <c r="A123" s="347">
        <v>6456.5</v>
      </c>
      <c r="B123" s="364">
        <f t="shared" si="49"/>
        <v>6.4565000000000001</v>
      </c>
      <c r="C123" s="337">
        <f t="shared" si="27"/>
        <v>15.984580778463359</v>
      </c>
      <c r="D123" s="338">
        <f t="shared" si="28"/>
        <v>1.5081951573500652</v>
      </c>
      <c r="E123" s="338">
        <f t="shared" si="29"/>
        <v>1.0000740543338835</v>
      </c>
      <c r="F123" s="339">
        <f t="shared" si="30"/>
        <v>1.2169614959831687E-2</v>
      </c>
      <c r="G123" s="338">
        <f t="shared" si="31"/>
        <v>1</v>
      </c>
      <c r="H123" s="339">
        <f t="shared" si="32"/>
        <v>0</v>
      </c>
      <c r="I123" s="337">
        <f t="shared" si="33"/>
        <v>857.78781568087936</v>
      </c>
      <c r="J123" s="340">
        <f t="shared" si="34"/>
        <v>1.5696305370643475</v>
      </c>
      <c r="K123" s="348">
        <f t="shared" si="35"/>
        <v>1.4170751376570658</v>
      </c>
      <c r="L123" s="349">
        <f t="shared" si="36"/>
        <v>0.787415483226236</v>
      </c>
      <c r="M123" s="337">
        <f t="shared" si="37"/>
        <v>1.0001875711736525</v>
      </c>
      <c r="N123" s="340">
        <f t="shared" si="38"/>
        <v>1.9367078211412963E-2</v>
      </c>
      <c r="O123" s="341">
        <f t="shared" si="39"/>
        <v>0.99999029728059663</v>
      </c>
      <c r="P123" s="342">
        <f t="shared" si="40"/>
        <v>7.9980189641609065E-3</v>
      </c>
      <c r="Q123" s="343">
        <f t="shared" si="41"/>
        <v>22.281786899059703</v>
      </c>
      <c r="R123" s="344">
        <f t="shared" si="42"/>
        <v>-132.10147560432617</v>
      </c>
      <c r="S123" s="346">
        <f t="shared" si="43"/>
        <v>47.898524395673832</v>
      </c>
      <c r="U123" s="319">
        <f t="shared" si="50"/>
        <v>1000000000</v>
      </c>
      <c r="V123" s="319">
        <f t="shared" si="51"/>
        <v>41686392.25</v>
      </c>
      <c r="X123" s="345">
        <f t="shared" si="44"/>
        <v>42.065855438970694</v>
      </c>
      <c r="Y123" s="346">
        <f t="shared" si="45"/>
        <v>-45.927273152015559</v>
      </c>
      <c r="AA123" s="345">
        <f t="shared" si="46"/>
        <v>37.048681618184013</v>
      </c>
      <c r="AB123" s="346">
        <f t="shared" si="47"/>
        <v>-86.174202452310595</v>
      </c>
      <c r="AD123">
        <f t="shared" si="52"/>
        <v>0</v>
      </c>
      <c r="AE123">
        <f t="shared" si="53"/>
        <v>0</v>
      </c>
    </row>
    <row r="124" spans="1:31" x14ac:dyDescent="0.2">
      <c r="A124" s="347">
        <v>6531.7</v>
      </c>
      <c r="B124" s="364">
        <f t="shared" si="49"/>
        <v>6.5316999999999998</v>
      </c>
      <c r="C124" s="337">
        <f t="shared" si="27"/>
        <v>16.17003155176727</v>
      </c>
      <c r="D124" s="338">
        <f t="shared" si="28"/>
        <v>1.5089140405248169</v>
      </c>
      <c r="E124" s="338">
        <f t="shared" si="29"/>
        <v>1.0000757893620147</v>
      </c>
      <c r="F124" s="339">
        <f t="shared" si="30"/>
        <v>1.2311342382917895E-2</v>
      </c>
      <c r="G124" s="338">
        <f t="shared" si="31"/>
        <v>1</v>
      </c>
      <c r="H124" s="339">
        <f t="shared" si="32"/>
        <v>0</v>
      </c>
      <c r="I124" s="337">
        <f t="shared" si="33"/>
        <v>867.77860892435399</v>
      </c>
      <c r="J124" s="340">
        <f t="shared" si="34"/>
        <v>1.5696439588855691</v>
      </c>
      <c r="K124" s="348">
        <f t="shared" si="35"/>
        <v>1.4253847851408394</v>
      </c>
      <c r="L124" s="349">
        <f t="shared" si="36"/>
        <v>0.79320510697066382</v>
      </c>
      <c r="M124" s="337">
        <f t="shared" si="37"/>
        <v>1.0001919655466196</v>
      </c>
      <c r="N124" s="340">
        <f t="shared" si="38"/>
        <v>1.9592592614208225E-2</v>
      </c>
      <c r="O124" s="341">
        <f t="shared" si="39"/>
        <v>0.9999900699654779</v>
      </c>
      <c r="P124" s="342">
        <f t="shared" si="40"/>
        <v>8.0911771692947151E-3</v>
      </c>
      <c r="Q124" s="343">
        <f t="shared" si="41"/>
        <v>22.131776906596915</v>
      </c>
      <c r="R124" s="344">
        <f t="shared" si="42"/>
        <v>-131.82185079636446</v>
      </c>
      <c r="S124" s="346">
        <f t="shared" si="43"/>
        <v>48.178149203635542</v>
      </c>
      <c r="U124" s="319">
        <f t="shared" si="50"/>
        <v>1000000000</v>
      </c>
      <c r="V124" s="319">
        <f t="shared" si="51"/>
        <v>42663104.890000001</v>
      </c>
      <c r="X124" s="345">
        <f t="shared" si="44"/>
        <v>42.016020735795095</v>
      </c>
      <c r="Y124" s="346">
        <f t="shared" si="45"/>
        <v>-45.609242183336661</v>
      </c>
      <c r="AA124" s="345">
        <f t="shared" si="46"/>
        <v>36.948506328896826</v>
      </c>
      <c r="AB124" s="346">
        <f t="shared" si="47"/>
        <v>-86.212608613027797</v>
      </c>
      <c r="AD124">
        <f t="shared" si="52"/>
        <v>0</v>
      </c>
      <c r="AE124">
        <f t="shared" si="53"/>
        <v>0</v>
      </c>
    </row>
    <row r="125" spans="1:31" x14ac:dyDescent="0.2">
      <c r="A125" s="347">
        <v>6606.9</v>
      </c>
      <c r="B125" s="364">
        <f t="shared" si="49"/>
        <v>6.6068999999999996</v>
      </c>
      <c r="C125" s="337">
        <f t="shared" si="27"/>
        <v>16.355490492122293</v>
      </c>
      <c r="D125" s="338">
        <f t="shared" si="28"/>
        <v>1.509616620868601</v>
      </c>
      <c r="E125" s="338">
        <f t="shared" si="29"/>
        <v>1.0000775444782608</v>
      </c>
      <c r="F125" s="339">
        <f t="shared" si="30"/>
        <v>1.2453069311393283E-2</v>
      </c>
      <c r="G125" s="338">
        <f t="shared" si="31"/>
        <v>1</v>
      </c>
      <c r="H125" s="339">
        <f t="shared" si="32"/>
        <v>0</v>
      </c>
      <c r="I125" s="337">
        <f t="shared" si="33"/>
        <v>877.76940232059633</v>
      </c>
      <c r="J125" s="340">
        <f t="shared" si="34"/>
        <v>1.5696570751717802</v>
      </c>
      <c r="K125" s="348">
        <f t="shared" si="35"/>
        <v>1.433741656401067</v>
      </c>
      <c r="L125" s="349">
        <f t="shared" si="36"/>
        <v>0.79892742853993859</v>
      </c>
      <c r="M125" s="337">
        <f t="shared" si="37"/>
        <v>1.0001964107856467</v>
      </c>
      <c r="N125" s="340">
        <f t="shared" si="38"/>
        <v>1.9818105023935089E-2</v>
      </c>
      <c r="O125" s="341">
        <f t="shared" si="39"/>
        <v>0.99998984001902702</v>
      </c>
      <c r="P125" s="342">
        <f t="shared" si="40"/>
        <v>8.1843355085384137E-3</v>
      </c>
      <c r="Q125" s="343">
        <f t="shared" si="41"/>
        <v>21.98404717809985</v>
      </c>
      <c r="R125" s="344">
        <f t="shared" si="42"/>
        <v>-131.54513045154792</v>
      </c>
      <c r="S125" s="346">
        <f t="shared" si="43"/>
        <v>48.454869548452081</v>
      </c>
      <c r="U125" s="319">
        <f t="shared" si="50"/>
        <v>1000000000</v>
      </c>
      <c r="V125" s="319">
        <f t="shared" si="51"/>
        <v>43651127.609999992</v>
      </c>
      <c r="X125" s="345">
        <f t="shared" si="44"/>
        <v>41.967327878084731</v>
      </c>
      <c r="Y125" s="346">
        <f t="shared" si="45"/>
        <v>-45.295049725189472</v>
      </c>
      <c r="AA125" s="345">
        <f t="shared" si="46"/>
        <v>36.849469458110121</v>
      </c>
      <c r="AB125" s="346">
        <f t="shared" si="47"/>
        <v>-86.250080726358419</v>
      </c>
      <c r="AD125">
        <f t="shared" si="52"/>
        <v>0</v>
      </c>
      <c r="AE125">
        <f t="shared" si="53"/>
        <v>0</v>
      </c>
    </row>
    <row r="126" spans="1:31" x14ac:dyDescent="0.2">
      <c r="A126" s="347">
        <v>6683.85</v>
      </c>
      <c r="B126" s="364">
        <f t="shared" si="49"/>
        <v>6.6838500000000005</v>
      </c>
      <c r="C126" s="337">
        <f t="shared" si="27"/>
        <v>16.54527346662022</v>
      </c>
      <c r="D126" s="338">
        <f t="shared" si="28"/>
        <v>1.5103192460274004</v>
      </c>
      <c r="E126" s="338">
        <f t="shared" si="29"/>
        <v>1.0000793612329604</v>
      </c>
      <c r="F126" s="339">
        <f t="shared" si="30"/>
        <v>1.2598093888475331E-2</v>
      </c>
      <c r="G126" s="338">
        <f t="shared" si="31"/>
        <v>1</v>
      </c>
      <c r="H126" s="339">
        <f t="shared" si="32"/>
        <v>0</v>
      </c>
      <c r="I126" s="337">
        <f t="shared" si="33"/>
        <v>887.99269438613601</v>
      </c>
      <c r="J126" s="340">
        <f t="shared" si="34"/>
        <v>1.5696701911659825</v>
      </c>
      <c r="K126" s="348">
        <f t="shared" si="35"/>
        <v>1.4423410313908218</v>
      </c>
      <c r="L126" s="349">
        <f t="shared" si="36"/>
        <v>0.80471407909717085</v>
      </c>
      <c r="M126" s="337">
        <f t="shared" si="37"/>
        <v>1.0002010121257638</v>
      </c>
      <c r="N126" s="340">
        <f t="shared" si="38"/>
        <v>2.0048863308244121E-2</v>
      </c>
      <c r="O126" s="341">
        <f t="shared" si="39"/>
        <v>0.99998960199756515</v>
      </c>
      <c r="P126" s="342">
        <f t="shared" si="40"/>
        <v>8.2796619017000972E-3</v>
      </c>
      <c r="Q126" s="343">
        <f t="shared" si="41"/>
        <v>21.835179528555614</v>
      </c>
      <c r="R126" s="344">
        <f t="shared" si="42"/>
        <v>-131.26496272366265</v>
      </c>
      <c r="S126" s="346">
        <f t="shared" si="43"/>
        <v>48.735037276337351</v>
      </c>
      <c r="U126" s="319">
        <f t="shared" si="50"/>
        <v>1000000000</v>
      </c>
      <c r="V126" s="319">
        <f t="shared" si="51"/>
        <v>44673850.822500005</v>
      </c>
      <c r="X126" s="345">
        <f t="shared" si="44"/>
        <v>41.918649918857881</v>
      </c>
      <c r="Y126" s="346">
        <f t="shared" si="45"/>
        <v>-44.977472037270651</v>
      </c>
      <c r="AA126" s="345">
        <f t="shared" si="46"/>
        <v>36.749279767792736</v>
      </c>
      <c r="AB126" s="346">
        <f t="shared" si="47"/>
        <v>-86.287490686391976</v>
      </c>
      <c r="AD126">
        <f t="shared" si="52"/>
        <v>0</v>
      </c>
      <c r="AE126">
        <f t="shared" si="53"/>
        <v>0</v>
      </c>
    </row>
    <row r="127" spans="1:31" x14ac:dyDescent="0.2">
      <c r="A127" s="347">
        <v>6760.8</v>
      </c>
      <c r="B127" s="364">
        <f t="shared" si="49"/>
        <v>6.7608000000000006</v>
      </c>
      <c r="C127" s="337">
        <f t="shared" si="27"/>
        <v>16.7350644239616</v>
      </c>
      <c r="D127" s="338">
        <f t="shared" si="28"/>
        <v>1.5110059346932301</v>
      </c>
      <c r="E127" s="338">
        <f t="shared" si="29"/>
        <v>1.0000811990213805</v>
      </c>
      <c r="F127" s="339">
        <f t="shared" si="30"/>
        <v>1.2743117935601834E-2</v>
      </c>
      <c r="G127" s="338">
        <f t="shared" si="31"/>
        <v>1</v>
      </c>
      <c r="H127" s="339">
        <f t="shared" si="32"/>
        <v>0</v>
      </c>
      <c r="I127" s="337">
        <f t="shared" si="33"/>
        <v>898.21598660095913</v>
      </c>
      <c r="J127" s="340">
        <f t="shared" si="34"/>
        <v>1.5696830085935987</v>
      </c>
      <c r="K127" s="348">
        <f t="shared" si="35"/>
        <v>1.450988130227796</v>
      </c>
      <c r="L127" s="349">
        <f t="shared" si="36"/>
        <v>0.81043194865649482</v>
      </c>
      <c r="M127" s="337">
        <f t="shared" si="37"/>
        <v>1.0002056667254791</v>
      </c>
      <c r="N127" s="340">
        <f t="shared" si="38"/>
        <v>2.0279619457107514E-2</v>
      </c>
      <c r="O127" s="341">
        <f t="shared" si="39"/>
        <v>0.99998936122094473</v>
      </c>
      <c r="P127" s="342">
        <f t="shared" si="40"/>
        <v>8.3749884385570465E-3</v>
      </c>
      <c r="Q127" s="343">
        <f t="shared" si="41"/>
        <v>21.688578657276096</v>
      </c>
      <c r="R127" s="344">
        <f t="shared" si="42"/>
        <v>-130.98780557252425</v>
      </c>
      <c r="S127" s="346">
        <f t="shared" si="43"/>
        <v>49.012194427475748</v>
      </c>
      <c r="U127" s="319">
        <f t="shared" si="50"/>
        <v>1000000000</v>
      </c>
      <c r="V127" s="319">
        <f t="shared" si="51"/>
        <v>45708416.640000001</v>
      </c>
      <c r="X127" s="345">
        <f t="shared" si="44"/>
        <v>41.871099771317184</v>
      </c>
      <c r="Y127" s="346">
        <f t="shared" si="45"/>
        <v>-44.663817981289853</v>
      </c>
      <c r="AA127" s="345">
        <f t="shared" si="46"/>
        <v>36.650229044053916</v>
      </c>
      <c r="AB127" s="346">
        <f t="shared" si="47"/>
        <v>-86.323987591234442</v>
      </c>
      <c r="AD127">
        <f t="shared" si="52"/>
        <v>0</v>
      </c>
      <c r="AE127">
        <f t="shared" si="53"/>
        <v>0</v>
      </c>
    </row>
    <row r="128" spans="1:31" x14ac:dyDescent="0.2">
      <c r="A128" s="347">
        <v>6839.55</v>
      </c>
      <c r="B128" s="364">
        <f t="shared" si="49"/>
        <v>6.83955</v>
      </c>
      <c r="C128" s="337">
        <f t="shared" si="27"/>
        <v>16.929302920844428</v>
      </c>
      <c r="D128" s="338">
        <f t="shared" si="28"/>
        <v>1.5116927448218445</v>
      </c>
      <c r="E128" s="338">
        <f t="shared" si="29"/>
        <v>1.0000831015763827</v>
      </c>
      <c r="F128" s="339">
        <f t="shared" si="30"/>
        <v>1.2891533803042076E-2</v>
      </c>
      <c r="G128" s="338">
        <f t="shared" si="31"/>
        <v>1</v>
      </c>
      <c r="H128" s="339">
        <f t="shared" si="32"/>
        <v>0</v>
      </c>
      <c r="I128" s="337">
        <f t="shared" si="33"/>
        <v>908.67842030344525</v>
      </c>
      <c r="J128" s="340">
        <f t="shared" si="34"/>
        <v>1.5696958272347596</v>
      </c>
      <c r="K128" s="348">
        <f t="shared" si="35"/>
        <v>1.4598860269217828</v>
      </c>
      <c r="L128" s="349">
        <f t="shared" si="36"/>
        <v>0.81621324513166515</v>
      </c>
      <c r="M128" s="337">
        <f t="shared" si="37"/>
        <v>1.0002104853468707</v>
      </c>
      <c r="N128" s="340">
        <f t="shared" si="38"/>
        <v>2.0515771174053999E-2</v>
      </c>
      <c r="O128" s="341">
        <f t="shared" si="39"/>
        <v>0.99998911195957418</v>
      </c>
      <c r="P128" s="342">
        <f t="shared" si="40"/>
        <v>8.4725449864279188E-3</v>
      </c>
      <c r="Q128" s="343">
        <f t="shared" si="41"/>
        <v>21.54083491571205</v>
      </c>
      <c r="R128" s="344">
        <f t="shared" si="42"/>
        <v>-130.70726393214224</v>
      </c>
      <c r="S128" s="346">
        <f t="shared" si="43"/>
        <v>49.29273606785776</v>
      </c>
      <c r="U128" s="319">
        <f t="shared" si="50"/>
        <v>1000000000</v>
      </c>
      <c r="V128" s="319">
        <f t="shared" si="51"/>
        <v>46779444.202500001</v>
      </c>
      <c r="X128" s="345">
        <f t="shared" si="44"/>
        <v>41.823571089449999</v>
      </c>
      <c r="Y128" s="346">
        <f t="shared" si="45"/>
        <v>-44.346839043529947</v>
      </c>
      <c r="AA128" s="345">
        <f t="shared" si="46"/>
        <v>36.550013984357058</v>
      </c>
      <c r="AB128" s="346">
        <f t="shared" si="47"/>
        <v>-86.3604248886123</v>
      </c>
      <c r="AD128">
        <f t="shared" si="52"/>
        <v>0</v>
      </c>
      <c r="AE128">
        <f t="shared" si="53"/>
        <v>0</v>
      </c>
    </row>
    <row r="129" spans="1:31" x14ac:dyDescent="0.2">
      <c r="A129" s="347">
        <v>6918.3</v>
      </c>
      <c r="B129" s="364">
        <f t="shared" si="49"/>
        <v>6.9183000000000003</v>
      </c>
      <c r="C129" s="337">
        <f t="shared" si="27"/>
        <v>17.123549222246261</v>
      </c>
      <c r="D129" s="338">
        <f t="shared" si="28"/>
        <v>1.5123639731729108</v>
      </c>
      <c r="E129" s="338">
        <f t="shared" si="29"/>
        <v>1.0000850261604011</v>
      </c>
      <c r="F129" s="339">
        <f t="shared" si="30"/>
        <v>1.3039949102522447E-2</v>
      </c>
      <c r="G129" s="338">
        <f t="shared" si="31"/>
        <v>1</v>
      </c>
      <c r="H129" s="339">
        <f t="shared" si="32"/>
        <v>0</v>
      </c>
      <c r="I129" s="337">
        <f t="shared" si="33"/>
        <v>919.14085415184422</v>
      </c>
      <c r="J129" s="340">
        <f t="shared" si="34"/>
        <v>1.5697083540508241</v>
      </c>
      <c r="K129" s="348">
        <f t="shared" si="35"/>
        <v>1.4688321258365924</v>
      </c>
      <c r="L129" s="349">
        <f t="shared" si="36"/>
        <v>0.82192430719706733</v>
      </c>
      <c r="M129" s="337">
        <f t="shared" si="37"/>
        <v>1.0002153597470946</v>
      </c>
      <c r="N129" s="340">
        <f t="shared" si="38"/>
        <v>2.0751920602469602E-2</v>
      </c>
      <c r="O129" s="341">
        <f t="shared" si="39"/>
        <v>0.99998885981271524</v>
      </c>
      <c r="P129" s="342">
        <f t="shared" si="40"/>
        <v>8.5701016883009372E-3</v>
      </c>
      <c r="Q129" s="343">
        <f t="shared" si="41"/>
        <v>21.395344384502661</v>
      </c>
      <c r="R129" s="344">
        <f t="shared" si="42"/>
        <v>-130.42983684682505</v>
      </c>
      <c r="S129" s="346">
        <f t="shared" si="43"/>
        <v>49.570163153174946</v>
      </c>
      <c r="U129" s="319">
        <f t="shared" si="50"/>
        <v>1000000000</v>
      </c>
      <c r="V129" s="319">
        <f t="shared" si="51"/>
        <v>47862874.890000001</v>
      </c>
      <c r="X129" s="345">
        <f t="shared" si="44"/>
        <v>41.777155862540681</v>
      </c>
      <c r="Y129" s="346">
        <f t="shared" si="45"/>
        <v>-44.033867389561379</v>
      </c>
      <c r="AA129" s="345">
        <f t="shared" si="46"/>
        <v>36.450938680056986</v>
      </c>
      <c r="AB129" s="346">
        <f t="shared" si="47"/>
        <v>-86.395969457263675</v>
      </c>
      <c r="AD129">
        <f t="shared" si="52"/>
        <v>0</v>
      </c>
      <c r="AE129">
        <f t="shared" si="53"/>
        <v>0</v>
      </c>
    </row>
    <row r="130" spans="1:31" x14ac:dyDescent="0.2">
      <c r="A130" s="347">
        <v>6998.9</v>
      </c>
      <c r="B130" s="364">
        <f t="shared" si="49"/>
        <v>6.9988999999999999</v>
      </c>
      <c r="C130" s="337">
        <f t="shared" si="27"/>
        <v>17.322366577778876</v>
      </c>
      <c r="D130" s="338">
        <f t="shared" si="28"/>
        <v>1.5130353813437605</v>
      </c>
      <c r="E130" s="338">
        <f t="shared" si="29"/>
        <v>1.0000870187680919</v>
      </c>
      <c r="F130" s="339">
        <f t="shared" si="30"/>
        <v>1.3191850388690893E-2</v>
      </c>
      <c r="G130" s="338">
        <f t="shared" si="31"/>
        <v>1</v>
      </c>
      <c r="H130" s="339">
        <f t="shared" si="32"/>
        <v>0</v>
      </c>
      <c r="I130" s="337">
        <f t="shared" si="33"/>
        <v>929.84907230644558</v>
      </c>
      <c r="J130" s="340">
        <f t="shared" si="34"/>
        <v>1.5697208832390057</v>
      </c>
      <c r="K130" s="348">
        <f t="shared" si="35"/>
        <v>1.4780373876823603</v>
      </c>
      <c r="L130" s="349">
        <f t="shared" si="36"/>
        <v>0.82769775100214793</v>
      </c>
      <c r="M130" s="337">
        <f t="shared" si="37"/>
        <v>1.0002204064159508</v>
      </c>
      <c r="N130" s="340">
        <f t="shared" si="38"/>
        <v>2.0993615270993006E-2</v>
      </c>
      <c r="O130" s="341">
        <f t="shared" si="39"/>
        <v>0.99998859875448232</v>
      </c>
      <c r="P130" s="342">
        <f t="shared" si="40"/>
        <v>8.6699503597302604E-3</v>
      </c>
      <c r="Q130" s="343">
        <f t="shared" si="41"/>
        <v>21.248708667859468</v>
      </c>
      <c r="R130" s="344">
        <f t="shared" si="42"/>
        <v>-130.14909529664106</v>
      </c>
      <c r="S130" s="346">
        <f t="shared" si="43"/>
        <v>49.850904703358935</v>
      </c>
      <c r="U130" s="319">
        <f t="shared" si="50"/>
        <v>1000000000</v>
      </c>
      <c r="V130" s="319">
        <f t="shared" si="51"/>
        <v>48984601.209999993</v>
      </c>
      <c r="X130" s="345">
        <f t="shared" si="44"/>
        <v>41.730769341179432</v>
      </c>
      <c r="Y130" s="346">
        <f t="shared" si="45"/>
        <v>-43.71763937995371</v>
      </c>
      <c r="AA130" s="345">
        <f t="shared" si="46"/>
        <v>36.350689484775039</v>
      </c>
      <c r="AB130" s="346">
        <f t="shared" si="47"/>
        <v>-86.431455916687327</v>
      </c>
      <c r="AD130">
        <f t="shared" si="52"/>
        <v>0</v>
      </c>
      <c r="AE130">
        <f t="shared" si="53"/>
        <v>0</v>
      </c>
    </row>
    <row r="131" spans="1:31" x14ac:dyDescent="0.2">
      <c r="A131" s="347">
        <v>7079.5</v>
      </c>
      <c r="B131" s="364">
        <f t="shared" si="49"/>
        <v>7.0795000000000003</v>
      </c>
      <c r="C131" s="337">
        <f t="shared" si="27"/>
        <v>17.521191564825326</v>
      </c>
      <c r="D131" s="338">
        <f t="shared" si="28"/>
        <v>1.5136915519461116</v>
      </c>
      <c r="E131" s="338">
        <f t="shared" si="29"/>
        <v>1.0000890344516993</v>
      </c>
      <c r="F131" s="339">
        <f t="shared" si="30"/>
        <v>1.334375106604894E-2</v>
      </c>
      <c r="G131" s="338">
        <f t="shared" si="31"/>
        <v>1</v>
      </c>
      <c r="H131" s="339">
        <f t="shared" si="32"/>
        <v>0</v>
      </c>
      <c r="I131" s="337">
        <f t="shared" si="33"/>
        <v>940.55729060369151</v>
      </c>
      <c r="J131" s="340">
        <f t="shared" si="34"/>
        <v>1.5697331271382791</v>
      </c>
      <c r="K131" s="348">
        <f t="shared" si="35"/>
        <v>1.4872913056316817</v>
      </c>
      <c r="L131" s="349">
        <f t="shared" si="36"/>
        <v>0.83339953823328528</v>
      </c>
      <c r="M131" s="337">
        <f t="shared" si="37"/>
        <v>1.0002255115134038</v>
      </c>
      <c r="N131" s="340">
        <f t="shared" si="38"/>
        <v>2.1235307486441767E-2</v>
      </c>
      <c r="O131" s="341">
        <f t="shared" si="39"/>
        <v>0.99998833467367765</v>
      </c>
      <c r="P131" s="342">
        <f t="shared" si="40"/>
        <v>8.7697991962407771E-3</v>
      </c>
      <c r="Q131" s="343">
        <f t="shared" si="41"/>
        <v>21.104312420836784</v>
      </c>
      <c r="R131" s="344">
        <f t="shared" si="42"/>
        <v>-129.87156987529653</v>
      </c>
      <c r="S131" s="346">
        <f t="shared" si="43"/>
        <v>50.12843012470347</v>
      </c>
      <c r="U131" s="319">
        <f t="shared" si="50"/>
        <v>1000000000</v>
      </c>
      <c r="V131" s="319">
        <f t="shared" si="51"/>
        <v>50119320.25</v>
      </c>
      <c r="X131" s="345">
        <f t="shared" si="44"/>
        <v>41.685481553524262</v>
      </c>
      <c r="Y131" s="346">
        <f t="shared" si="45"/>
        <v>-43.40550050321081</v>
      </c>
      <c r="AA131" s="345">
        <f t="shared" si="46"/>
        <v>36.251581025407525</v>
      </c>
      <c r="AB131" s="346">
        <f t="shared" si="47"/>
        <v>-86.466069372085713</v>
      </c>
      <c r="AD131">
        <f t="shared" si="52"/>
        <v>0</v>
      </c>
      <c r="AE131">
        <f t="shared" si="53"/>
        <v>0</v>
      </c>
    </row>
    <row r="132" spans="1:31" x14ac:dyDescent="0.2">
      <c r="A132" s="347">
        <v>7161.95</v>
      </c>
      <c r="B132" s="364">
        <f t="shared" si="49"/>
        <v>7.16195</v>
      </c>
      <c r="C132" s="337">
        <f t="shared" si="27"/>
        <v>17.724587781201073</v>
      </c>
      <c r="D132" s="338">
        <f t="shared" si="28"/>
        <v>1.5143475513863116</v>
      </c>
      <c r="E132" s="338">
        <f t="shared" si="29"/>
        <v>1.0000911202773337</v>
      </c>
      <c r="F132" s="339">
        <f t="shared" si="30"/>
        <v>1.3499137660179466E-2</v>
      </c>
      <c r="G132" s="338">
        <f t="shared" si="31"/>
        <v>1</v>
      </c>
      <c r="H132" s="339">
        <f t="shared" si="32"/>
        <v>0</v>
      </c>
      <c r="I132" s="337">
        <f t="shared" si="33"/>
        <v>951.51129321038184</v>
      </c>
      <c r="J132" s="340">
        <f t="shared" si="34"/>
        <v>1.5697453669258739</v>
      </c>
      <c r="K132" s="348">
        <f t="shared" si="35"/>
        <v>1.4968070305995271</v>
      </c>
      <c r="L132" s="349">
        <f t="shared" si="36"/>
        <v>0.83915905807301894</v>
      </c>
      <c r="M132" s="337">
        <f t="shared" si="37"/>
        <v>1.0002307942421202</v>
      </c>
      <c r="N132" s="340">
        <f t="shared" si="38"/>
        <v>2.1482544660348369E-2</v>
      </c>
      <c r="O132" s="341">
        <f t="shared" si="39"/>
        <v>0.9999880614040757</v>
      </c>
      <c r="P132" s="342">
        <f t="shared" si="40"/>
        <v>8.8719400212679562E-3</v>
      </c>
      <c r="Q132" s="343">
        <f t="shared" si="41"/>
        <v>20.958858565842604</v>
      </c>
      <c r="R132" s="344">
        <f t="shared" si="42"/>
        <v>-129.59097587235203</v>
      </c>
      <c r="S132" s="346">
        <f t="shared" si="43"/>
        <v>50.409024127647967</v>
      </c>
      <c r="U132" s="319">
        <f t="shared" si="50"/>
        <v>1000000000</v>
      </c>
      <c r="V132" s="319">
        <f t="shared" si="51"/>
        <v>51293527.802499995</v>
      </c>
      <c r="X132" s="345">
        <f t="shared" si="44"/>
        <v>41.640257323363919</v>
      </c>
      <c r="Y132" s="346">
        <f t="shared" si="45"/>
        <v>-43.09037125878703</v>
      </c>
      <c r="AA132" s="345">
        <f t="shared" si="46"/>
        <v>36.151351400573688</v>
      </c>
      <c r="AB132" s="346">
        <f t="shared" si="47"/>
        <v>-86.500604613565031</v>
      </c>
      <c r="AD132">
        <f t="shared" si="52"/>
        <v>0</v>
      </c>
      <c r="AE132">
        <f t="shared" si="53"/>
        <v>0</v>
      </c>
    </row>
    <row r="133" spans="1:31" x14ac:dyDescent="0.2">
      <c r="A133" s="347">
        <v>7244.4</v>
      </c>
      <c r="B133" s="364">
        <f t="shared" si="49"/>
        <v>7.2443999999999997</v>
      </c>
      <c r="C133" s="337">
        <f t="shared" si="27"/>
        <v>17.927991452019125</v>
      </c>
      <c r="D133" s="338">
        <f t="shared" si="28"/>
        <v>1.5149886656936193</v>
      </c>
      <c r="E133" s="338">
        <f t="shared" si="29"/>
        <v>1.0000932302500609</v>
      </c>
      <c r="F133" s="339">
        <f t="shared" si="30"/>
        <v>1.3654523602399946E-2</v>
      </c>
      <c r="G133" s="338">
        <f t="shared" si="31"/>
        <v>1</v>
      </c>
      <c r="H133" s="339">
        <f t="shared" si="32"/>
        <v>0</v>
      </c>
      <c r="I133" s="337">
        <f t="shared" si="33"/>
        <v>962.4652959563756</v>
      </c>
      <c r="J133" s="340">
        <f t="shared" si="34"/>
        <v>1.5697573281067143</v>
      </c>
      <c r="K133" s="348">
        <f t="shared" si="35"/>
        <v>1.506371779495429</v>
      </c>
      <c r="L133" s="349">
        <f t="shared" si="36"/>
        <v>0.84484562410318709</v>
      </c>
      <c r="M133" s="337">
        <f t="shared" si="37"/>
        <v>1.0002361381105163</v>
      </c>
      <c r="N133" s="340">
        <f t="shared" si="38"/>
        <v>2.1729779207585335E-2</v>
      </c>
      <c r="O133" s="341">
        <f t="shared" si="39"/>
        <v>0.99998778497164553</v>
      </c>
      <c r="P133" s="342">
        <f t="shared" si="40"/>
        <v>8.9740810230656727E-3</v>
      </c>
      <c r="Q133" s="343">
        <f t="shared" si="41"/>
        <v>20.815627526804761</v>
      </c>
      <c r="R133" s="344">
        <f t="shared" si="42"/>
        <v>-129.31369289349828</v>
      </c>
      <c r="S133" s="346">
        <f t="shared" si="43"/>
        <v>50.686307106501715</v>
      </c>
      <c r="U133" s="319">
        <f t="shared" si="50"/>
        <v>1000000000</v>
      </c>
      <c r="V133" s="319">
        <f t="shared" si="51"/>
        <v>52481331.359999992</v>
      </c>
      <c r="X133" s="345">
        <f t="shared" si="44"/>
        <v>41.596115414418684</v>
      </c>
      <c r="Y133" s="346">
        <f t="shared" si="45"/>
        <v>-42.779405846267252</v>
      </c>
      <c r="AA133" s="345">
        <f t="shared" si="46"/>
        <v>36.05226227048108</v>
      </c>
      <c r="AB133" s="346">
        <f t="shared" si="47"/>
        <v>-86.534287047231047</v>
      </c>
      <c r="AD133">
        <f t="shared" si="52"/>
        <v>0</v>
      </c>
      <c r="AE133">
        <f t="shared" si="53"/>
        <v>0</v>
      </c>
    </row>
    <row r="134" spans="1:31" x14ac:dyDescent="0.2">
      <c r="A134" s="347">
        <v>7328.75</v>
      </c>
      <c r="B134" s="364">
        <f t="shared" si="49"/>
        <v>7.3287500000000003</v>
      </c>
      <c r="C134" s="337">
        <f t="shared" si="27"/>
        <v>18.136089864345671</v>
      </c>
      <c r="D134" s="338">
        <f t="shared" si="28"/>
        <v>1.5156296721153031</v>
      </c>
      <c r="E134" s="338">
        <f t="shared" si="29"/>
        <v>1.0000954138335909</v>
      </c>
      <c r="F134" s="339">
        <f t="shared" si="30"/>
        <v>1.3813489617673732E-2</v>
      </c>
      <c r="G134" s="338">
        <f t="shared" si="31"/>
        <v>1</v>
      </c>
      <c r="H134" s="339">
        <f t="shared" si="32"/>
        <v>0</v>
      </c>
      <c r="I134" s="337">
        <f t="shared" si="33"/>
        <v>973.67172583031106</v>
      </c>
      <c r="J134" s="340">
        <f t="shared" si="34"/>
        <v>1.5697692864184809</v>
      </c>
      <c r="K134" s="348">
        <f t="shared" si="35"/>
        <v>1.5162067050675363</v>
      </c>
      <c r="L134" s="349">
        <f t="shared" si="36"/>
        <v>0.85058879793721143</v>
      </c>
      <c r="M134" s="337">
        <f t="shared" si="37"/>
        <v>1.0002416683927253</v>
      </c>
      <c r="N134" s="340">
        <f t="shared" si="38"/>
        <v>2.1982708344662913E-2</v>
      </c>
      <c r="O134" s="341">
        <f t="shared" si="39"/>
        <v>0.99998749889608407</v>
      </c>
      <c r="P134" s="342">
        <f t="shared" si="40"/>
        <v>9.0785759746604845E-3</v>
      </c>
      <c r="Q134" s="343">
        <f t="shared" si="41"/>
        <v>20.671335739832237</v>
      </c>
      <c r="R134" s="344">
        <f t="shared" si="42"/>
        <v>-129.03341620489212</v>
      </c>
      <c r="S134" s="346">
        <f t="shared" si="43"/>
        <v>50.96658379510788</v>
      </c>
      <c r="U134" s="319">
        <f t="shared" si="50"/>
        <v>1000000000</v>
      </c>
      <c r="V134" s="319">
        <f t="shared" si="51"/>
        <v>53710576.5625</v>
      </c>
      <c r="X134" s="345">
        <f t="shared" si="44"/>
        <v>41.552042629936388</v>
      </c>
      <c r="Y134" s="346">
        <f t="shared" si="45"/>
        <v>-42.46552315707379</v>
      </c>
      <c r="AA134" s="345">
        <f t="shared" si="46"/>
        <v>35.952043267990859</v>
      </c>
      <c r="AB134" s="346">
        <f t="shared" si="47"/>
        <v>-86.567893047818316</v>
      </c>
      <c r="AD134">
        <f t="shared" si="52"/>
        <v>0</v>
      </c>
      <c r="AE134">
        <f t="shared" si="53"/>
        <v>0</v>
      </c>
    </row>
    <row r="135" spans="1:31" x14ac:dyDescent="0.2">
      <c r="A135" s="347">
        <v>7413.1</v>
      </c>
      <c r="B135" s="364">
        <f t="shared" si="49"/>
        <v>7.4131</v>
      </c>
      <c r="C135" s="337">
        <f t="shared" si="27"/>
        <v>18.34419555952374</v>
      </c>
      <c r="D135" s="338">
        <f t="shared" si="28"/>
        <v>1.5162561349970383</v>
      </c>
      <c r="E135" s="338">
        <f t="shared" si="29"/>
        <v>1.000097622689615</v>
      </c>
      <c r="F135" s="339">
        <f t="shared" si="30"/>
        <v>1.3972454934767056E-2</v>
      </c>
      <c r="G135" s="338">
        <f t="shared" si="31"/>
        <v>1</v>
      </c>
      <c r="H135" s="339">
        <f t="shared" si="32"/>
        <v>0</v>
      </c>
      <c r="I135" s="337">
        <f t="shared" si="33"/>
        <v>984.87815584031432</v>
      </c>
      <c r="J135" s="340">
        <f t="shared" si="34"/>
        <v>1.5697809725950964</v>
      </c>
      <c r="K135" s="348">
        <f t="shared" si="35"/>
        <v>1.5260909957267579</v>
      </c>
      <c r="L135" s="349">
        <f t="shared" si="36"/>
        <v>0.85625776118474539</v>
      </c>
      <c r="M135" s="337">
        <f t="shared" si="37"/>
        <v>1.0002472626628329</v>
      </c>
      <c r="N135" s="340">
        <f t="shared" si="38"/>
        <v>2.2235634668712569E-2</v>
      </c>
      <c r="O135" s="341">
        <f t="shared" si="39"/>
        <v>0.99998720951034203</v>
      </c>
      <c r="P135" s="342">
        <f t="shared" si="40"/>
        <v>9.1830711155754721E-3</v>
      </c>
      <c r="Q135" s="343">
        <f t="shared" si="41"/>
        <v>20.529250023629189</v>
      </c>
      <c r="R135" s="344">
        <f t="shared" si="42"/>
        <v>-128.75654248371245</v>
      </c>
      <c r="S135" s="346">
        <f t="shared" si="43"/>
        <v>51.243457516287549</v>
      </c>
      <c r="U135" s="319">
        <f t="shared" si="50"/>
        <v>1000000000</v>
      </c>
      <c r="V135" s="319">
        <f t="shared" si="51"/>
        <v>54954051.610000007</v>
      </c>
      <c r="X135" s="345">
        <f t="shared" si="44"/>
        <v>41.509035466470792</v>
      </c>
      <c r="Y135" s="346">
        <f t="shared" si="45"/>
        <v>-42.155876667916004</v>
      </c>
      <c r="AA135" s="345">
        <f t="shared" si="46"/>
        <v>35.8529647152534</v>
      </c>
      <c r="AB135" s="346">
        <f t="shared" si="47"/>
        <v>-86.600665815796447</v>
      </c>
      <c r="AD135">
        <f t="shared" si="52"/>
        <v>0</v>
      </c>
      <c r="AE135">
        <f t="shared" si="53"/>
        <v>0</v>
      </c>
    </row>
    <row r="136" spans="1:31" x14ac:dyDescent="0.2">
      <c r="A136" s="347">
        <v>7499.45</v>
      </c>
      <c r="B136" s="364">
        <f t="shared" si="49"/>
        <v>7.4994499999999995</v>
      </c>
      <c r="C136" s="337">
        <f t="shared" si="27"/>
        <v>18.55724288058229</v>
      </c>
      <c r="D136" s="338">
        <f t="shared" si="28"/>
        <v>1.5168828972111128</v>
      </c>
      <c r="E136" s="338">
        <f t="shared" si="29"/>
        <v>1.0000999100974939</v>
      </c>
      <c r="F136" s="339">
        <f t="shared" si="30"/>
        <v>1.4135188703839773E-2</v>
      </c>
      <c r="G136" s="338">
        <f t="shared" si="31"/>
        <v>1</v>
      </c>
      <c r="H136" s="339">
        <f t="shared" si="32"/>
        <v>0</v>
      </c>
      <c r="I136" s="337">
        <f t="shared" si="33"/>
        <v>996.35029861266958</v>
      </c>
      <c r="J136" s="340">
        <f t="shared" si="34"/>
        <v>1.5697926635558908</v>
      </c>
      <c r="K136" s="348">
        <f t="shared" si="35"/>
        <v>1.5362597899799015</v>
      </c>
      <c r="L136" s="349">
        <f t="shared" si="36"/>
        <v>0.86198538774289057</v>
      </c>
      <c r="M136" s="337">
        <f t="shared" si="37"/>
        <v>1.0002530558577276</v>
      </c>
      <c r="N136" s="340">
        <f t="shared" si="38"/>
        <v>2.2494555112712544E-2</v>
      </c>
      <c r="O136" s="341">
        <f t="shared" si="39"/>
        <v>0.99998690983426464</v>
      </c>
      <c r="P136" s="342">
        <f t="shared" si="40"/>
        <v>9.2900441108510617E-3</v>
      </c>
      <c r="Q136" s="343">
        <f t="shared" si="41"/>
        <v>20.386020246882918</v>
      </c>
      <c r="R136" s="344">
        <f t="shared" si="42"/>
        <v>-128.4765945189904</v>
      </c>
      <c r="S136" s="346">
        <f t="shared" si="43"/>
        <v>51.523405481009604</v>
      </c>
      <c r="U136" s="319">
        <f t="shared" si="50"/>
        <v>1000000000</v>
      </c>
      <c r="V136" s="319">
        <f t="shared" si="51"/>
        <v>56241750.302499995</v>
      </c>
      <c r="X136" s="345">
        <f t="shared" si="44"/>
        <v>41.466078827288626</v>
      </c>
      <c r="Y136" s="346">
        <f t="shared" si="45"/>
        <v>-41.843212730532798</v>
      </c>
      <c r="AA136" s="345">
        <f t="shared" si="46"/>
        <v>35.752691577689298</v>
      </c>
      <c r="AB136" s="346">
        <f t="shared" si="47"/>
        <v>-86.633381788457612</v>
      </c>
      <c r="AD136">
        <f t="shared" si="52"/>
        <v>0</v>
      </c>
      <c r="AE136">
        <f t="shared" si="53"/>
        <v>0</v>
      </c>
    </row>
    <row r="137" spans="1:31" x14ac:dyDescent="0.2">
      <c r="A137" s="347">
        <v>7585.8</v>
      </c>
      <c r="B137" s="364">
        <f t="shared" si="49"/>
        <v>7.5857999999999999</v>
      </c>
      <c r="C137" s="337">
        <f t="shared" si="27"/>
        <v>18.770297326013882</v>
      </c>
      <c r="D137" s="338">
        <f t="shared" si="28"/>
        <v>1.5174954313862949</v>
      </c>
      <c r="E137" s="338">
        <f t="shared" si="29"/>
        <v>1.0001022239901762</v>
      </c>
      <c r="F137" s="339">
        <f t="shared" si="30"/>
        <v>1.4297921724202037E-2</v>
      </c>
      <c r="G137" s="338">
        <f t="shared" si="31"/>
        <v>1</v>
      </c>
      <c r="H137" s="339">
        <f t="shared" si="32"/>
        <v>0</v>
      </c>
      <c r="I137" s="337">
        <f t="shared" si="33"/>
        <v>1007.8224415181046</v>
      </c>
      <c r="J137" s="340">
        <f t="shared" si="34"/>
        <v>1.569804088357952</v>
      </c>
      <c r="K137" s="348">
        <f t="shared" si="35"/>
        <v>1.5464783185825852</v>
      </c>
      <c r="L137" s="349">
        <f t="shared" si="36"/>
        <v>0.86763750582333532</v>
      </c>
      <c r="M137" s="337">
        <f t="shared" si="37"/>
        <v>1.0002589161086044</v>
      </c>
      <c r="N137" s="340">
        <f t="shared" si="38"/>
        <v>2.2753472540178132E-2</v>
      </c>
      <c r="O137" s="341">
        <f t="shared" si="39"/>
        <v>0.99998660668927919</v>
      </c>
      <c r="P137" s="342">
        <f t="shared" si="40"/>
        <v>9.3970173091520899E-3</v>
      </c>
      <c r="Q137" s="343">
        <f t="shared" si="41"/>
        <v>20.244982140470711</v>
      </c>
      <c r="R137" s="344">
        <f t="shared" si="42"/>
        <v>-128.20014229670647</v>
      </c>
      <c r="S137" s="346">
        <f t="shared" si="43"/>
        <v>51.799857703293526</v>
      </c>
      <c r="U137" s="319">
        <f t="shared" si="50"/>
        <v>1000000000</v>
      </c>
      <c r="V137" s="319">
        <f t="shared" si="51"/>
        <v>57544361.640000001</v>
      </c>
      <c r="X137" s="345">
        <f t="shared" si="44"/>
        <v>41.424171993465002</v>
      </c>
      <c r="Y137" s="346">
        <f t="shared" si="45"/>
        <v>-41.534859687637436</v>
      </c>
      <c r="AA137" s="345">
        <f t="shared" si="46"/>
        <v>35.653560305100712</v>
      </c>
      <c r="AB137" s="346">
        <f t="shared" si="47"/>
        <v>-86.66528260906901</v>
      </c>
      <c r="AD137">
        <f t="shared" si="52"/>
        <v>0</v>
      </c>
      <c r="AE137">
        <f t="shared" si="53"/>
        <v>0</v>
      </c>
    </row>
    <row r="138" spans="1:31" x14ac:dyDescent="0.2">
      <c r="A138" s="347">
        <v>7674.15</v>
      </c>
      <c r="B138" s="364">
        <f t="shared" si="49"/>
        <v>7.67415</v>
      </c>
      <c r="C138" s="337">
        <f t="shared" si="27"/>
        <v>18.988293566700722</v>
      </c>
      <c r="D138" s="338">
        <f t="shared" si="28"/>
        <v>1.5181079256853194</v>
      </c>
      <c r="E138" s="338">
        <f t="shared" si="29"/>
        <v>1.000104618888064</v>
      </c>
      <c r="F138" s="339">
        <f t="shared" si="30"/>
        <v>1.446442310994149E-2</v>
      </c>
      <c r="G138" s="338">
        <f t="shared" si="31"/>
        <v>1</v>
      </c>
      <c r="H138" s="339">
        <f t="shared" si="32"/>
        <v>0</v>
      </c>
      <c r="I138" s="337">
        <f t="shared" si="33"/>
        <v>1019.5602971890287</v>
      </c>
      <c r="J138" s="340">
        <f t="shared" si="34"/>
        <v>1.569815511669896</v>
      </c>
      <c r="K138" s="348">
        <f t="shared" si="35"/>
        <v>1.556983978381741</v>
      </c>
      <c r="L138" s="349">
        <f t="shared" si="36"/>
        <v>0.87334356146665248</v>
      </c>
      <c r="M138" s="337">
        <f t="shared" si="37"/>
        <v>1.0002649814944051</v>
      </c>
      <c r="N138" s="340">
        <f t="shared" si="38"/>
        <v>2.3018383738761271E-2</v>
      </c>
      <c r="O138" s="341">
        <f t="shared" si="39"/>
        <v>0.9999862929326867</v>
      </c>
      <c r="P138" s="342">
        <f t="shared" si="40"/>
        <v>9.5064683853008768E-3</v>
      </c>
      <c r="Q138" s="343">
        <f t="shared" si="41"/>
        <v>20.10288563649685</v>
      </c>
      <c r="R138" s="344">
        <f t="shared" si="42"/>
        <v>-127.9208667878959</v>
      </c>
      <c r="S138" s="346">
        <f t="shared" si="43"/>
        <v>52.079133212104097</v>
      </c>
      <c r="U138" s="319">
        <f t="shared" si="50"/>
        <v>1000000000</v>
      </c>
      <c r="V138" s="319">
        <f t="shared" si="51"/>
        <v>58892578.222499996</v>
      </c>
      <c r="X138" s="345">
        <f t="shared" si="44"/>
        <v>41.382347673771058</v>
      </c>
      <c r="Y138" s="346">
        <f t="shared" si="45"/>
        <v>-41.223759582440081</v>
      </c>
      <c r="AA138" s="345">
        <f t="shared" si="46"/>
        <v>35.553288120820795</v>
      </c>
      <c r="AB138" s="346">
        <f t="shared" si="47"/>
        <v>-86.697107205455836</v>
      </c>
      <c r="AD138">
        <f t="shared" si="52"/>
        <v>0</v>
      </c>
      <c r="AE138">
        <f t="shared" si="53"/>
        <v>0</v>
      </c>
    </row>
    <row r="139" spans="1:31" x14ac:dyDescent="0.2">
      <c r="A139" s="347">
        <v>7762.5</v>
      </c>
      <c r="B139" s="364">
        <f t="shared" si="49"/>
        <v>7.7625000000000002</v>
      </c>
      <c r="C139" s="337">
        <f t="shared" si="27"/>
        <v>19.206296769124705</v>
      </c>
      <c r="D139" s="338">
        <f t="shared" si="28"/>
        <v>1.5187065158356805</v>
      </c>
      <c r="E139" s="338">
        <f t="shared" si="29"/>
        <v>1.0001070415114302</v>
      </c>
      <c r="F139" s="339">
        <f t="shared" si="30"/>
        <v>1.4630923693642826E-2</v>
      </c>
      <c r="G139" s="338">
        <f t="shared" si="31"/>
        <v>1</v>
      </c>
      <c r="H139" s="339">
        <f t="shared" si="32"/>
        <v>0</v>
      </c>
      <c r="I139" s="337">
        <f t="shared" si="33"/>
        <v>1031.2981529899691</v>
      </c>
      <c r="J139" s="340">
        <f t="shared" si="34"/>
        <v>1.5698266749499816</v>
      </c>
      <c r="K139" s="348">
        <f t="shared" si="35"/>
        <v>1.5675396516752189</v>
      </c>
      <c r="L139" s="349">
        <f t="shared" si="36"/>
        <v>0.8789729502029775</v>
      </c>
      <c r="M139" s="337">
        <f t="shared" si="37"/>
        <v>1.0002711170758907</v>
      </c>
      <c r="N139" s="340">
        <f t="shared" si="38"/>
        <v>2.3283291706047531E-2</v>
      </c>
      <c r="O139" s="341">
        <f t="shared" si="39"/>
        <v>0.99998597554475233</v>
      </c>
      <c r="P139" s="342">
        <f t="shared" si="40"/>
        <v>9.615919678939636E-3</v>
      </c>
      <c r="Q139" s="343">
        <f t="shared" si="41"/>
        <v>19.962963540781349</v>
      </c>
      <c r="R139" s="344">
        <f t="shared" si="42"/>
        <v>-127.64517229479929</v>
      </c>
      <c r="S139" s="346">
        <f t="shared" si="43"/>
        <v>52.354827705200705</v>
      </c>
      <c r="U139" s="319">
        <f t="shared" si="50"/>
        <v>1000000000</v>
      </c>
      <c r="V139" s="319">
        <f t="shared" si="51"/>
        <v>60256406.25</v>
      </c>
      <c r="X139" s="345">
        <f t="shared" si="44"/>
        <v>41.341555734462396</v>
      </c>
      <c r="Y139" s="346">
        <f t="shared" si="45"/>
        <v>-40.917037083579018</v>
      </c>
      <c r="AA139" s="345">
        <f t="shared" si="46"/>
        <v>35.454157964413959</v>
      </c>
      <c r="AB139" s="346">
        <f t="shared" si="47"/>
        <v>-86.728135211220291</v>
      </c>
      <c r="AD139">
        <f t="shared" si="52"/>
        <v>0</v>
      </c>
      <c r="AE139">
        <f t="shared" si="53"/>
        <v>0</v>
      </c>
    </row>
    <row r="140" spans="1:31" x14ac:dyDescent="0.2">
      <c r="A140" s="347">
        <v>7852.9</v>
      </c>
      <c r="B140" s="364">
        <f t="shared" si="49"/>
        <v>7.8529</v>
      </c>
      <c r="C140" s="337">
        <f t="shared" si="27"/>
        <v>19.429365298222844</v>
      </c>
      <c r="D140" s="338">
        <f t="shared" si="28"/>
        <v>1.5193050911011206</v>
      </c>
      <c r="E140" s="338">
        <f t="shared" si="29"/>
        <v>1.0001095490450467</v>
      </c>
      <c r="F140" s="339">
        <f t="shared" si="30"/>
        <v>1.4801286778769957E-2</v>
      </c>
      <c r="G140" s="338">
        <f t="shared" si="31"/>
        <v>1</v>
      </c>
      <c r="H140" s="339">
        <f t="shared" si="32"/>
        <v>0</v>
      </c>
      <c r="I140" s="337">
        <f t="shared" si="33"/>
        <v>1043.3083643752593</v>
      </c>
      <c r="J140" s="340">
        <f t="shared" si="34"/>
        <v>1.5698378372559809</v>
      </c>
      <c r="K140" s="348">
        <f t="shared" si="35"/>
        <v>1.5783909710390138</v>
      </c>
      <c r="L140" s="349">
        <f t="shared" si="36"/>
        <v>0.88465483880959439</v>
      </c>
      <c r="M140" s="337">
        <f t="shared" si="37"/>
        <v>1.0002774676786887</v>
      </c>
      <c r="N140" s="340">
        <f t="shared" si="38"/>
        <v>2.3554342994373669E-2</v>
      </c>
      <c r="O140" s="341">
        <f t="shared" si="39"/>
        <v>0.99998564703376747</v>
      </c>
      <c r="P140" s="342">
        <f t="shared" si="40"/>
        <v>9.7279108171951442E-3</v>
      </c>
      <c r="Q140" s="343">
        <f t="shared" si="41"/>
        <v>19.821985522879679</v>
      </c>
      <c r="R140" s="344">
        <f t="shared" si="42"/>
        <v>-127.36674507576754</v>
      </c>
      <c r="S140" s="346">
        <f t="shared" si="43"/>
        <v>52.63325492423246</v>
      </c>
      <c r="U140" s="319">
        <f t="shared" si="50"/>
        <v>1000000000</v>
      </c>
      <c r="V140" s="319">
        <f t="shared" si="51"/>
        <v>61668038.409999996</v>
      </c>
      <c r="X140" s="345">
        <f t="shared" si="44"/>
        <v>41.300852655787537</v>
      </c>
      <c r="Y140" s="346">
        <f t="shared" si="45"/>
        <v>-40.607658494278951</v>
      </c>
      <c r="AA140" s="345">
        <f t="shared" si="46"/>
        <v>35.353883025187145</v>
      </c>
      <c r="AB140" s="346">
        <f t="shared" si="47"/>
        <v>-86.759086581488589</v>
      </c>
      <c r="AD140">
        <f t="shared" si="52"/>
        <v>0</v>
      </c>
      <c r="AE140">
        <f t="shared" si="53"/>
        <v>0</v>
      </c>
    </row>
    <row r="141" spans="1:31" x14ac:dyDescent="0.2">
      <c r="A141" s="347">
        <v>7943.3</v>
      </c>
      <c r="B141" s="364">
        <f t="shared" si="49"/>
        <v>7.9432999999999998</v>
      </c>
      <c r="C141" s="337">
        <f t="shared" ref="C141:C204" si="54">SQRT(1+(A141/pole1)^2)</f>
        <v>19.652440630679418</v>
      </c>
      <c r="D141" s="338">
        <f t="shared" ref="D141:D204" si="55">ATAN(A141/pole1)</f>
        <v>1.5198900776873634</v>
      </c>
      <c r="E141" s="338">
        <f t="shared" ref="E141:E204" si="56">SQRT(1+(A141/Zero1)^2)</f>
        <v>1.0001120856052774</v>
      </c>
      <c r="F141" s="339">
        <f t="shared" ref="F141:F204" si="57">ATAN(A141/Zero1)</f>
        <v>1.4971649004665997E-2</v>
      </c>
      <c r="G141" s="338">
        <f t="shared" ref="G141:G204" si="58">IF(VIN_nom&gt;Vout, 1, SQRT(1+(A141/z_RHP)^2))</f>
        <v>1</v>
      </c>
      <c r="H141" s="339">
        <f t="shared" ref="H141:H204" si="59">IF(VIN_nom&gt;Vout, 0, -ATAN(A141/z_RHP))</f>
        <v>0</v>
      </c>
      <c r="I141" s="337">
        <f t="shared" ref="I141:I204" si="60">SQRT(1+(A141/Pole2)^2)</f>
        <v>1055.3185758875841</v>
      </c>
      <c r="J141" s="340">
        <f t="shared" ref="J141:J204" si="61">ATAN(A141/Pole2)</f>
        <v>1.5698487454933823</v>
      </c>
      <c r="K141" s="348">
        <f t="shared" ref="K141:K147" si="62">SQRT(1+(A141/Zero2)^2)</f>
        <v>1.5892925501621367</v>
      </c>
      <c r="L141" s="349">
        <f t="shared" ref="L141:L147" si="63">ATAN(A141/Zero2)</f>
        <v>0.89025895768843943</v>
      </c>
      <c r="M141" s="337">
        <f t="shared" ref="M141:M204" si="64">SQRT(1+(A141/pole4)^2)</f>
        <v>1.0002838917697365</v>
      </c>
      <c r="N141" s="340">
        <f t="shared" ref="N141:N204" si="65">ATAN(A141/pole4)</f>
        <v>2.3825390821085226E-2</v>
      </c>
      <c r="O141" s="341">
        <f t="shared" ref="O141:O204" si="66">SQRT((1-(V141/pterm2))^2+(A141/pterm1)^2)</f>
        <v>0.9999853147210972</v>
      </c>
      <c r="P141" s="342">
        <f t="shared" ref="P141:P204" si="67">IF((ATAN((A141/pterm1)/(1-A141^2/pterm2))&gt;0),ATAN((A141/pterm1)/(1-A141^2/pterm2)),PI()+ATAN((A141/pterm1)/(1-A141^2/pterm2)))</f>
        <v>9.8399021884540486E-3</v>
      </c>
      <c r="Q141" s="343">
        <f t="shared" ref="Q141:Q204" si="68">20*LOG10(((E141*K141*G141)/(C141*I141*O141*M141))*Adc)</f>
        <v>19.683164393739261</v>
      </c>
      <c r="R141" s="344">
        <f t="shared" ref="R141:R204" si="69">((F141+L141+H141)-(D141+J141+P141+N141))*radconv</f>
        <v>-127.09198046713415</v>
      </c>
      <c r="S141" s="346">
        <f t="shared" ref="S141:S204" si="70">IF(R141&gt;0,R141,R141+180)</f>
        <v>52.90801953286585</v>
      </c>
      <c r="U141" s="319">
        <f t="shared" si="50"/>
        <v>1000000000</v>
      </c>
      <c r="V141" s="319">
        <f t="shared" si="51"/>
        <v>63096014.890000001</v>
      </c>
      <c r="X141" s="345">
        <f t="shared" ref="X141:X204" si="71">20*LOG10((K141/(I141*M141))*AEA)</f>
        <v>41.26116419609987</v>
      </c>
      <c r="Y141" s="346">
        <f t="shared" ref="Y141:Y204" si="72">(L141-(J141+N141))*radconv</f>
        <v>-40.302721026764893</v>
      </c>
      <c r="AA141" s="345">
        <f t="shared" ref="AA141:AA204" si="73">20*LOG10((E141*G141/(C141*O141))*Acs*Am)</f>
        <v>35.254750355734394</v>
      </c>
      <c r="AB141" s="346">
        <f t="shared" ref="AB141:AB204" si="74">(F141+H141-(D141+P141))*radconv</f>
        <v>-86.789259440369278</v>
      </c>
      <c r="AD141">
        <f t="shared" si="52"/>
        <v>0</v>
      </c>
      <c r="AE141">
        <f t="shared" si="53"/>
        <v>0</v>
      </c>
    </row>
    <row r="142" spans="1:31" x14ac:dyDescent="0.2">
      <c r="A142" s="347">
        <v>8035.8</v>
      </c>
      <c r="B142" s="364">
        <f t="shared" ref="B142:B205" si="75">A142/1000</f>
        <v>8.0358000000000001</v>
      </c>
      <c r="C142" s="337">
        <f t="shared" si="54"/>
        <v>19.880704826215396</v>
      </c>
      <c r="D142" s="338">
        <f t="shared" si="55"/>
        <v>1.5204750644603746</v>
      </c>
      <c r="E142" s="338">
        <f t="shared" si="56"/>
        <v>1.0001147111356785</v>
      </c>
      <c r="F142" s="339">
        <f t="shared" si="57"/>
        <v>1.5145967860434364E-2</v>
      </c>
      <c r="G142" s="338">
        <f t="shared" si="58"/>
        <v>1</v>
      </c>
      <c r="H142" s="339">
        <f t="shared" si="59"/>
        <v>0</v>
      </c>
      <c r="I142" s="337">
        <f t="shared" si="60"/>
        <v>1067.6077858032136</v>
      </c>
      <c r="J142" s="340">
        <f t="shared" si="61"/>
        <v>1.5698596530842661</v>
      </c>
      <c r="K142" s="348">
        <f t="shared" si="62"/>
        <v>1.6004983272249678</v>
      </c>
      <c r="L142" s="349">
        <f t="shared" si="63"/>
        <v>0.89591405452997008</v>
      </c>
      <c r="M142" s="337">
        <f t="shared" si="64"/>
        <v>1.0002905411602971</v>
      </c>
      <c r="N142" s="340">
        <f t="shared" si="65"/>
        <v>2.4102731488154991E-2</v>
      </c>
      <c r="O142" s="341">
        <f t="shared" si="66"/>
        <v>0.99998497075366166</v>
      </c>
      <c r="P142" s="342">
        <f t="shared" si="67"/>
        <v>9.9544953731611277E-3</v>
      </c>
      <c r="Q142" s="343">
        <f t="shared" si="68"/>
        <v>19.543291305028635</v>
      </c>
      <c r="R142" s="344">
        <f t="shared" si="69"/>
        <v>-126.81457793797661</v>
      </c>
      <c r="S142" s="346">
        <f t="shared" si="70"/>
        <v>53.185422062023392</v>
      </c>
      <c r="U142" s="319">
        <f t="shared" ref="U142:U205" si="76">IF(Q142&lt;0,A142,1000000000)</f>
        <v>1000000000</v>
      </c>
      <c r="V142" s="319">
        <f t="shared" ref="V142:V205" si="77">A142^2</f>
        <v>64574081.640000001</v>
      </c>
      <c r="X142" s="345">
        <f t="shared" si="71"/>
        <v>41.221571003569579</v>
      </c>
      <c r="Y142" s="346">
        <f t="shared" si="72"/>
        <v>-39.995223253288799</v>
      </c>
      <c r="AA142" s="345">
        <f t="shared" si="73"/>
        <v>35.154470459554062</v>
      </c>
      <c r="AB142" s="346">
        <f t="shared" si="74"/>
        <v>-86.819354684687781</v>
      </c>
      <c r="AD142">
        <f t="shared" ref="AD142:AD205" si="78">SUM((Q143&lt;0)*(Q142&gt;0))*A142</f>
        <v>0</v>
      </c>
      <c r="AE142">
        <f t="shared" si="53"/>
        <v>0</v>
      </c>
    </row>
    <row r="143" spans="1:31" x14ac:dyDescent="0.2">
      <c r="A143" s="347">
        <v>8128.3</v>
      </c>
      <c r="B143" s="364">
        <f t="shared" si="75"/>
        <v>8.1282999999999994</v>
      </c>
      <c r="C143" s="337">
        <f t="shared" si="54"/>
        <v>20.108975670661678</v>
      </c>
      <c r="D143" s="338">
        <f t="shared" si="55"/>
        <v>1.5210467702491322</v>
      </c>
      <c r="E143" s="338">
        <f t="shared" si="56"/>
        <v>1.0001173670564689</v>
      </c>
      <c r="F143" s="339">
        <f t="shared" si="57"/>
        <v>1.5320285795654233E-2</v>
      </c>
      <c r="G143" s="338">
        <f t="shared" si="58"/>
        <v>1</v>
      </c>
      <c r="H143" s="339">
        <f t="shared" si="59"/>
        <v>0</v>
      </c>
      <c r="I143" s="337">
        <f t="shared" si="60"/>
        <v>1079.8969958429716</v>
      </c>
      <c r="J143" s="340">
        <f t="shared" si="61"/>
        <v>1.5698703124187416</v>
      </c>
      <c r="K143" s="348">
        <f t="shared" si="62"/>
        <v>1.6117545757510499</v>
      </c>
      <c r="L143" s="349">
        <f t="shared" si="63"/>
        <v>0.90149033896556396</v>
      </c>
      <c r="M143" s="337">
        <f t="shared" si="64"/>
        <v>1.0002972674900248</v>
      </c>
      <c r="N143" s="340">
        <f t="shared" si="65"/>
        <v>2.4380068446695904E-2</v>
      </c>
      <c r="O143" s="341">
        <f t="shared" si="66"/>
        <v>0.99998462280600298</v>
      </c>
      <c r="P143" s="342">
        <f t="shared" si="67"/>
        <v>1.0069088807504293E-2</v>
      </c>
      <c r="Q143" s="343">
        <f t="shared" si="68"/>
        <v>19.405557290525579</v>
      </c>
      <c r="R143" s="344">
        <f t="shared" si="69"/>
        <v>-126.54091571323032</v>
      </c>
      <c r="S143" s="346">
        <f t="shared" si="70"/>
        <v>53.459084286769681</v>
      </c>
      <c r="U143" s="319">
        <f t="shared" si="76"/>
        <v>1000000000</v>
      </c>
      <c r="V143" s="319">
        <f t="shared" si="77"/>
        <v>66069260.890000001</v>
      </c>
      <c r="X143" s="345">
        <f t="shared" si="71"/>
        <v>41.182974328262418</v>
      </c>
      <c r="Y143" s="346">
        <f t="shared" si="72"/>
        <v>-39.692226661523812</v>
      </c>
      <c r="AA143" s="345">
        <f t="shared" si="73"/>
        <v>35.055333120358164</v>
      </c>
      <c r="AB143" s="346">
        <f t="shared" si="74"/>
        <v>-86.848689051706558</v>
      </c>
      <c r="AD143">
        <f t="shared" si="78"/>
        <v>0</v>
      </c>
      <c r="AE143">
        <f t="shared" si="53"/>
        <v>0</v>
      </c>
    </row>
    <row r="144" spans="1:31" x14ac:dyDescent="0.2">
      <c r="A144" s="347">
        <v>8222.9500000000007</v>
      </c>
      <c r="B144" s="364">
        <f t="shared" si="75"/>
        <v>8.2229500000000009</v>
      </c>
      <c r="C144" s="337">
        <f t="shared" si="54"/>
        <v>20.342558918901961</v>
      </c>
      <c r="D144" s="338">
        <f t="shared" si="55"/>
        <v>1.5216184827256536</v>
      </c>
      <c r="E144" s="338">
        <f t="shared" si="56"/>
        <v>1.000120116167375</v>
      </c>
      <c r="F144" s="339">
        <f t="shared" si="57"/>
        <v>1.5498654481108732E-2</v>
      </c>
      <c r="G144" s="338">
        <f t="shared" si="58"/>
        <v>1</v>
      </c>
      <c r="H144" s="339">
        <f t="shared" si="59"/>
        <v>0</v>
      </c>
      <c r="I144" s="337">
        <f t="shared" si="60"/>
        <v>1092.4718471050705</v>
      </c>
      <c r="J144" s="340">
        <f t="shared" si="61"/>
        <v>1.5698809712712776</v>
      </c>
      <c r="K144" s="348">
        <f t="shared" si="62"/>
        <v>1.6233236055210063</v>
      </c>
      <c r="L144" s="349">
        <f t="shared" si="63"/>
        <v>0.90711600522686975</v>
      </c>
      <c r="M144" s="337">
        <f t="shared" si="64"/>
        <v>1.0003042298022751</v>
      </c>
      <c r="N144" s="340">
        <f t="shared" si="65"/>
        <v>2.4663847732370747E-2</v>
      </c>
      <c r="O144" s="341">
        <f t="shared" si="66"/>
        <v>0.99998426265092011</v>
      </c>
      <c r="P144" s="342">
        <f t="shared" si="67"/>
        <v>1.0186346026320413E-2</v>
      </c>
      <c r="Q144" s="343">
        <f t="shared" si="68"/>
        <v>19.266776583459059</v>
      </c>
      <c r="R144" s="344">
        <f t="shared" si="69"/>
        <v>-126.26471412472141</v>
      </c>
      <c r="S144" s="346">
        <f t="shared" si="70"/>
        <v>53.735285875278592</v>
      </c>
      <c r="U144" s="319">
        <f t="shared" si="76"/>
        <v>1000000000</v>
      </c>
      <c r="V144" s="319">
        <f t="shared" si="77"/>
        <v>67616906.702500015</v>
      </c>
      <c r="X144" s="345">
        <f t="shared" si="71"/>
        <v>41.144479294455138</v>
      </c>
      <c r="Y144" s="346">
        <f t="shared" si="72"/>
        <v>-39.386769790099983</v>
      </c>
      <c r="AA144" s="345">
        <f t="shared" si="73"/>
        <v>34.955047447098927</v>
      </c>
      <c r="AB144" s="346">
        <f t="shared" si="74"/>
        <v>-86.877944334621404</v>
      </c>
      <c r="AD144">
        <f t="shared" si="78"/>
        <v>0</v>
      </c>
      <c r="AE144">
        <f t="shared" si="53"/>
        <v>0</v>
      </c>
    </row>
    <row r="145" spans="1:31" x14ac:dyDescent="0.2">
      <c r="A145" s="347">
        <v>8270.2750000000015</v>
      </c>
      <c r="B145" s="364">
        <f t="shared" si="75"/>
        <v>8.2702750000000016</v>
      </c>
      <c r="C145" s="337">
        <f t="shared" si="54"/>
        <v>20.459352993722703</v>
      </c>
      <c r="D145" s="338">
        <f t="shared" si="55"/>
        <v>1.5218994435118887</v>
      </c>
      <c r="E145" s="338">
        <f t="shared" si="56"/>
        <v>1.0001215026549821</v>
      </c>
      <c r="F145" s="339">
        <f t="shared" si="57"/>
        <v>1.5587838454695474E-2</v>
      </c>
      <c r="G145" s="338">
        <f t="shared" si="58"/>
        <v>1</v>
      </c>
      <c r="H145" s="339">
        <f t="shared" si="59"/>
        <v>0</v>
      </c>
      <c r="I145" s="337">
        <f t="shared" si="60"/>
        <v>1098.7592727818649</v>
      </c>
      <c r="J145" s="340">
        <f t="shared" si="61"/>
        <v>1.5698862092078836</v>
      </c>
      <c r="K145" s="348">
        <f t="shared" si="62"/>
        <v>1.6291271807009791</v>
      </c>
      <c r="L145" s="349">
        <f t="shared" si="63"/>
        <v>0.90989883192144938</v>
      </c>
      <c r="M145" s="337">
        <f t="shared" si="64"/>
        <v>1.0003077411662775</v>
      </c>
      <c r="N145" s="340">
        <f t="shared" si="65"/>
        <v>2.480573588813088E-2</v>
      </c>
      <c r="O145" s="341">
        <f t="shared" si="66"/>
        <v>0.99998408101065672</v>
      </c>
      <c r="P145" s="342">
        <f t="shared" si="67"/>
        <v>1.0244974735834552E-2</v>
      </c>
      <c r="Q145" s="343">
        <f t="shared" si="68"/>
        <v>19.198185182481843</v>
      </c>
      <c r="R145" s="344">
        <f t="shared" si="69"/>
        <v>-126.12804678358498</v>
      </c>
      <c r="S145" s="346">
        <f t="shared" si="70"/>
        <v>53.871953216415022</v>
      </c>
      <c r="U145" s="319">
        <f t="shared" si="76"/>
        <v>1000000000</v>
      </c>
      <c r="V145" s="319">
        <f t="shared" si="77"/>
        <v>68397448.575625017</v>
      </c>
      <c r="X145" s="345">
        <f t="shared" si="71"/>
        <v>41.125600533091024</v>
      </c>
      <c r="Y145" s="346">
        <f t="shared" si="72"/>
        <v>-39.235755269360489</v>
      </c>
      <c r="AA145" s="345">
        <f t="shared" si="73"/>
        <v>34.905334807485822</v>
      </c>
      <c r="AB145" s="346">
        <f t="shared" si="74"/>
        <v>-86.892291514224468</v>
      </c>
      <c r="AD145">
        <f t="shared" si="78"/>
        <v>0</v>
      </c>
      <c r="AE145">
        <f t="shared" si="53"/>
        <v>0</v>
      </c>
    </row>
    <row r="146" spans="1:31" x14ac:dyDescent="0.2">
      <c r="A146" s="347">
        <v>8317.6</v>
      </c>
      <c r="B146" s="364">
        <f t="shared" si="75"/>
        <v>8.3176000000000005</v>
      </c>
      <c r="C146" s="337">
        <f t="shared" si="54"/>
        <v>20.576148665248947</v>
      </c>
      <c r="D146" s="338">
        <f t="shared" si="55"/>
        <v>1.5221772147041157</v>
      </c>
      <c r="E146" s="338">
        <f t="shared" si="56"/>
        <v>1.0001228970973146</v>
      </c>
      <c r="F146" s="339">
        <f t="shared" si="57"/>
        <v>1.567702218029831E-2</v>
      </c>
      <c r="G146" s="338">
        <f t="shared" si="58"/>
        <v>1</v>
      </c>
      <c r="H146" s="339">
        <f t="shared" si="59"/>
        <v>0</v>
      </c>
      <c r="I146" s="337">
        <f t="shared" si="60"/>
        <v>1105.0466984884615</v>
      </c>
      <c r="J146" s="340">
        <f t="shared" si="61"/>
        <v>1.5698913875395206</v>
      </c>
      <c r="K146" s="348">
        <f t="shared" si="62"/>
        <v>1.6349432824203092</v>
      </c>
      <c r="L146" s="349">
        <f t="shared" si="63"/>
        <v>0.91266188078643173</v>
      </c>
      <c r="M146" s="337">
        <f t="shared" si="64"/>
        <v>1.0003112726685828</v>
      </c>
      <c r="N146" s="340">
        <f t="shared" si="65"/>
        <v>2.494762304490265E-2</v>
      </c>
      <c r="O146" s="341">
        <f t="shared" si="66"/>
        <v>0.99998389832859214</v>
      </c>
      <c r="P146" s="342">
        <f t="shared" si="67"/>
        <v>1.0303603512599147E-2</v>
      </c>
      <c r="Q146" s="343">
        <f t="shared" si="68"/>
        <v>19.13011681213694</v>
      </c>
      <c r="R146" s="344">
        <f t="shared" si="69"/>
        <v>-125.99232642404911</v>
      </c>
      <c r="S146" s="346">
        <f t="shared" si="70"/>
        <v>54.007673575950889</v>
      </c>
      <c r="U146" s="319">
        <f t="shared" si="76"/>
        <v>1000000000</v>
      </c>
      <c r="V146" s="319">
        <f t="shared" si="77"/>
        <v>69182469.760000005</v>
      </c>
      <c r="X146" s="345">
        <f t="shared" si="71"/>
        <v>41.10696233780078</v>
      </c>
      <c r="Y146" s="346">
        <f t="shared" si="72"/>
        <v>-39.085870462435174</v>
      </c>
      <c r="AA146" s="345">
        <f t="shared" si="73"/>
        <v>34.855904632431169</v>
      </c>
      <c r="AB146" s="346">
        <f t="shared" si="74"/>
        <v>-86.906455961613915</v>
      </c>
      <c r="AD146">
        <f t="shared" si="78"/>
        <v>0</v>
      </c>
      <c r="AE146">
        <f t="shared" si="53"/>
        <v>0</v>
      </c>
    </row>
    <row r="147" spans="1:31" x14ac:dyDescent="0.2">
      <c r="A147" s="347">
        <v>8366.0499999999993</v>
      </c>
      <c r="B147" s="364">
        <f t="shared" si="75"/>
        <v>8.3660499999999995</v>
      </c>
      <c r="C147" s="337">
        <f t="shared" si="54"/>
        <v>20.695722404911145</v>
      </c>
      <c r="D147" s="338">
        <f t="shared" si="55"/>
        <v>1.5224583411271062</v>
      </c>
      <c r="E147" s="338">
        <f t="shared" si="56"/>
        <v>1.0001243329286242</v>
      </c>
      <c r="F147" s="339">
        <f t="shared" si="57"/>
        <v>1.5768325704392933E-2</v>
      </c>
      <c r="G147" s="338">
        <f t="shared" si="58"/>
        <v>1</v>
      </c>
      <c r="H147" s="339">
        <f t="shared" si="59"/>
        <v>0</v>
      </c>
      <c r="I147" s="337">
        <f t="shared" si="60"/>
        <v>1111.4835875940234</v>
      </c>
      <c r="J147" s="340">
        <f t="shared" si="61"/>
        <v>1.5698966282783633</v>
      </c>
      <c r="K147" s="348">
        <f t="shared" si="62"/>
        <v>1.6409104809582693</v>
      </c>
      <c r="L147" s="349">
        <f t="shared" si="63"/>
        <v>0.91547029940285285</v>
      </c>
      <c r="M147" s="337">
        <f t="shared" si="64"/>
        <v>1.0003149089828776</v>
      </c>
      <c r="N147" s="340">
        <f t="shared" si="65"/>
        <v>2.5092882072637261E-2</v>
      </c>
      <c r="O147" s="341">
        <f t="shared" si="66"/>
        <v>0.99998371022461408</v>
      </c>
      <c r="P147" s="342">
        <f t="shared" si="67"/>
        <v>1.0363626070449583E-2</v>
      </c>
      <c r="Q147" s="343">
        <f t="shared" si="68"/>
        <v>19.060964812477767</v>
      </c>
      <c r="R147" s="344">
        <f t="shared" si="69"/>
        <v>-125.85435398170918</v>
      </c>
      <c r="S147" s="346">
        <f t="shared" si="70"/>
        <v>54.145646018290819</v>
      </c>
      <c r="U147" s="319">
        <f t="shared" si="76"/>
        <v>1000000000</v>
      </c>
      <c r="V147" s="319">
        <f t="shared" si="77"/>
        <v>69990792.602499992</v>
      </c>
      <c r="X147" s="345">
        <f t="shared" si="71"/>
        <v>41.088126262286508</v>
      </c>
      <c r="Y147" s="346">
        <f t="shared" si="72"/>
        <v>-38.933582929876849</v>
      </c>
      <c r="AA147" s="345">
        <f t="shared" si="73"/>
        <v>34.805588708286265</v>
      </c>
      <c r="AB147" s="346">
        <f t="shared" si="74"/>
        <v>-86.920771051832347</v>
      </c>
      <c r="AD147">
        <f t="shared" si="78"/>
        <v>0</v>
      </c>
      <c r="AE147">
        <f t="shared" si="53"/>
        <v>0</v>
      </c>
    </row>
    <row r="148" spans="1:31" x14ac:dyDescent="0.2">
      <c r="A148" s="350">
        <v>8414.5</v>
      </c>
      <c r="B148" s="364">
        <f t="shared" si="75"/>
        <v>8.4145000000000003</v>
      </c>
      <c r="C148" s="337">
        <f t="shared" si="54"/>
        <v>20.815297761407216</v>
      </c>
      <c r="D148" s="338">
        <f t="shared" si="55"/>
        <v>1.5227362376596345</v>
      </c>
      <c r="E148" s="338">
        <f t="shared" si="56"/>
        <v>1.0001257770972798</v>
      </c>
      <c r="F148" s="339">
        <f t="shared" si="57"/>
        <v>1.5859628965566482E-2</v>
      </c>
      <c r="G148" s="338">
        <f t="shared" si="58"/>
        <v>1</v>
      </c>
      <c r="H148" s="339">
        <f t="shared" si="59"/>
        <v>0</v>
      </c>
      <c r="I148" s="337">
        <f t="shared" si="60"/>
        <v>1117.9204767297613</v>
      </c>
      <c r="J148" s="340">
        <f t="shared" si="61"/>
        <v>1.5699018086657666</v>
      </c>
      <c r="K148" s="348">
        <f t="shared" ref="K148:K157" si="79">SQRT(1+(A148/Zero2)^2)</f>
        <v>1.6468905278635344</v>
      </c>
      <c r="L148" s="349">
        <f t="shared" ref="L148:L157" si="80">ATAN(A148/Zero2)</f>
        <v>0.91825834450129851</v>
      </c>
      <c r="M148" s="337">
        <f t="shared" si="64"/>
        <v>1.0003185664038481</v>
      </c>
      <c r="N148" s="340">
        <f t="shared" si="65"/>
        <v>2.5238140041228384E-2</v>
      </c>
      <c r="O148" s="341">
        <f t="shared" si="66"/>
        <v>0.99998352102873611</v>
      </c>
      <c r="P148" s="342">
        <f t="shared" si="67"/>
        <v>1.0423648699602031E-2</v>
      </c>
      <c r="Q148" s="343">
        <f t="shared" si="68"/>
        <v>18.99234620955416</v>
      </c>
      <c r="R148" s="344">
        <f t="shared" si="69"/>
        <v>-125.71736029745483</v>
      </c>
      <c r="S148" s="346">
        <f t="shared" si="70"/>
        <v>54.282639702545168</v>
      </c>
      <c r="U148" s="319">
        <f t="shared" si="76"/>
        <v>1000000000</v>
      </c>
      <c r="V148" s="319">
        <f t="shared" si="77"/>
        <v>70803810.25</v>
      </c>
      <c r="X148" s="345">
        <f t="shared" si="71"/>
        <v>41.069534220379289</v>
      </c>
      <c r="Y148" s="346">
        <f t="shared" si="72"/>
        <v>-38.782459195346462</v>
      </c>
      <c r="AA148" s="345">
        <f t="shared" si="73"/>
        <v>34.75556214726987</v>
      </c>
      <c r="AB148" s="346">
        <f t="shared" si="74"/>
        <v>-86.93490110210837</v>
      </c>
      <c r="AD148">
        <f t="shared" si="78"/>
        <v>0</v>
      </c>
      <c r="AE148">
        <f t="shared" si="53"/>
        <v>0</v>
      </c>
    </row>
    <row r="149" spans="1:31" x14ac:dyDescent="0.2">
      <c r="A149" s="350">
        <v>8462.9500000000007</v>
      </c>
      <c r="B149" s="364">
        <f t="shared" si="75"/>
        <v>8.4629500000000011</v>
      </c>
      <c r="C149" s="337">
        <f t="shared" si="54"/>
        <v>20.934874707032176</v>
      </c>
      <c r="D149" s="338">
        <f t="shared" si="55"/>
        <v>1.5230109596043939</v>
      </c>
      <c r="E149" s="338">
        <f t="shared" si="56"/>
        <v>1.0001272296032451</v>
      </c>
      <c r="F149" s="339">
        <f t="shared" si="57"/>
        <v>1.5950931962297837E-2</v>
      </c>
      <c r="G149" s="338">
        <f t="shared" si="58"/>
        <v>1</v>
      </c>
      <c r="H149" s="339">
        <f t="shared" si="59"/>
        <v>0</v>
      </c>
      <c r="I149" s="337">
        <f t="shared" si="60"/>
        <v>1124.3573658951564</v>
      </c>
      <c r="J149" s="340">
        <f t="shared" si="61"/>
        <v>1.5699069297382573</v>
      </c>
      <c r="K149" s="348">
        <f t="shared" si="79"/>
        <v>1.6528832836819098</v>
      </c>
      <c r="L149" s="349">
        <f t="shared" si="80"/>
        <v>0.92102619410268027</v>
      </c>
      <c r="M149" s="337">
        <f t="shared" si="64"/>
        <v>1.0003222449312634</v>
      </c>
      <c r="N149" s="340">
        <f t="shared" si="65"/>
        <v>2.5383396944557813E-2</v>
      </c>
      <c r="O149" s="341">
        <f t="shared" si="66"/>
        <v>0.99998333074096923</v>
      </c>
      <c r="P149" s="342">
        <f t="shared" si="67"/>
        <v>1.0483671400469392E-2</v>
      </c>
      <c r="Q149" s="343">
        <f t="shared" si="68"/>
        <v>18.924253722018129</v>
      </c>
      <c r="R149" s="344">
        <f t="shared" si="69"/>
        <v>-125.58133839919887</v>
      </c>
      <c r="S149" s="346">
        <f t="shared" si="70"/>
        <v>54.41866160080113</v>
      </c>
      <c r="U149" s="319">
        <f t="shared" si="76"/>
        <v>1000000000</v>
      </c>
      <c r="V149" s="319">
        <f t="shared" si="77"/>
        <v>71621522.702500015</v>
      </c>
      <c r="X149" s="345">
        <f t="shared" si="71"/>
        <v>41.051182229473895</v>
      </c>
      <c r="Y149" s="346">
        <f t="shared" si="72"/>
        <v>-38.632489118035167</v>
      </c>
      <c r="AA149" s="345">
        <f t="shared" si="73"/>
        <v>34.705821650639237</v>
      </c>
      <c r="AB149" s="346">
        <f t="shared" si="74"/>
        <v>-86.948849281163731</v>
      </c>
      <c r="AD149">
        <f t="shared" si="78"/>
        <v>0</v>
      </c>
      <c r="AE149">
        <f t="shared" si="53"/>
        <v>0</v>
      </c>
    </row>
    <row r="150" spans="1:31" x14ac:dyDescent="0.2">
      <c r="A150" s="350">
        <v>8511.4</v>
      </c>
      <c r="B150" s="364">
        <f t="shared" si="75"/>
        <v>8.5114000000000001</v>
      </c>
      <c r="C150" s="337">
        <f t="shared" si="54"/>
        <v>21.054453214710055</v>
      </c>
      <c r="D150" s="338">
        <f t="shared" si="55"/>
        <v>1.5232825610096559</v>
      </c>
      <c r="E150" s="338">
        <f t="shared" si="56"/>
        <v>1.0001286904464841</v>
      </c>
      <c r="F150" s="339">
        <f t="shared" si="57"/>
        <v>1.6042234693065899E-2</v>
      </c>
      <c r="G150" s="338">
        <f t="shared" si="58"/>
        <v>1</v>
      </c>
      <c r="H150" s="339">
        <f t="shared" si="59"/>
        <v>0</v>
      </c>
      <c r="I150" s="337">
        <f t="shared" si="60"/>
        <v>1130.7942550897023</v>
      </c>
      <c r="J150" s="340">
        <f t="shared" si="61"/>
        <v>1.5699119925087608</v>
      </c>
      <c r="K150" s="348">
        <f t="shared" si="79"/>
        <v>1.6588886106800789</v>
      </c>
      <c r="L150" s="349">
        <f t="shared" si="80"/>
        <v>0.92377402489603933</v>
      </c>
      <c r="M150" s="337">
        <f t="shared" si="64"/>
        <v>1.0003259445648902</v>
      </c>
      <c r="N150" s="340">
        <f t="shared" si="65"/>
        <v>2.5528652776507618E-2</v>
      </c>
      <c r="O150" s="341">
        <f t="shared" si="66"/>
        <v>0.99998313936132421</v>
      </c>
      <c r="P150" s="342">
        <f t="shared" si="67"/>
        <v>1.0543694173464568E-2</v>
      </c>
      <c r="Q150" s="343">
        <f t="shared" si="68"/>
        <v>18.856680201467768</v>
      </c>
      <c r="R150" s="344">
        <f t="shared" si="69"/>
        <v>-125.44628131793947</v>
      </c>
      <c r="S150" s="346">
        <f t="shared" si="70"/>
        <v>54.553718682060534</v>
      </c>
      <c r="U150" s="319">
        <f t="shared" si="76"/>
        <v>1000000000</v>
      </c>
      <c r="V150" s="319">
        <f t="shared" si="77"/>
        <v>72443929.959999993</v>
      </c>
      <c r="X150" s="345">
        <f t="shared" si="71"/>
        <v>41.033066383936387</v>
      </c>
      <c r="Y150" s="346">
        <f t="shared" si="72"/>
        <v>-38.483662632092418</v>
      </c>
      <c r="AA150" s="345">
        <f t="shared" si="73"/>
        <v>34.656363975626391</v>
      </c>
      <c r="AB150" s="346">
        <f t="shared" si="74"/>
        <v>-86.962618685847048</v>
      </c>
      <c r="AD150">
        <f t="shared" si="78"/>
        <v>0</v>
      </c>
      <c r="AE150">
        <f t="shared" si="53"/>
        <v>0</v>
      </c>
    </row>
    <row r="151" spans="1:31" x14ac:dyDescent="0.2">
      <c r="A151" s="350">
        <v>8560.9500000000007</v>
      </c>
      <c r="B151" s="364">
        <f t="shared" si="75"/>
        <v>8.5609500000000001</v>
      </c>
      <c r="C151" s="337">
        <f t="shared" si="54"/>
        <v>21.176748199183123</v>
      </c>
      <c r="D151" s="338">
        <f t="shared" si="55"/>
        <v>1.5235571562363106</v>
      </c>
      <c r="E151" s="338">
        <f t="shared" si="56"/>
        <v>1.0001301930797588</v>
      </c>
      <c r="F151" s="339">
        <f t="shared" si="57"/>
        <v>1.6135610067775391E-2</v>
      </c>
      <c r="G151" s="338">
        <f t="shared" si="58"/>
        <v>1</v>
      </c>
      <c r="H151" s="339">
        <f t="shared" si="59"/>
        <v>0</v>
      </c>
      <c r="I151" s="337">
        <f t="shared" si="60"/>
        <v>1137.3772862770213</v>
      </c>
      <c r="J151" s="340">
        <f t="shared" si="61"/>
        <v>1.5699171109525352</v>
      </c>
      <c r="K151" s="348">
        <f t="shared" si="79"/>
        <v>1.6650431423165575</v>
      </c>
      <c r="L151" s="349">
        <f t="shared" si="80"/>
        <v>0.92656371895137934</v>
      </c>
      <c r="M151" s="337">
        <f t="shared" si="64"/>
        <v>1.0003297500245218</v>
      </c>
      <c r="N151" s="340">
        <f t="shared" si="65"/>
        <v>2.5677205355965294E-2</v>
      </c>
      <c r="O151" s="341">
        <f t="shared" si="66"/>
        <v>0.99998294250729758</v>
      </c>
      <c r="P151" s="342">
        <f t="shared" si="67"/>
        <v>1.0605079767628933E-2</v>
      </c>
      <c r="Q151" s="343">
        <f t="shared" si="68"/>
        <v>18.788101965085193</v>
      </c>
      <c r="R151" s="344">
        <f t="shared" si="69"/>
        <v>-125.30914859149267</v>
      </c>
      <c r="S151" s="346">
        <f t="shared" si="70"/>
        <v>54.690851408507328</v>
      </c>
      <c r="U151" s="319">
        <f t="shared" si="76"/>
        <v>1000000000</v>
      </c>
      <c r="V151" s="319">
        <f t="shared" si="77"/>
        <v>73289864.902500018</v>
      </c>
      <c r="X151" s="345">
        <f t="shared" si="71"/>
        <v>41.014779496510883</v>
      </c>
      <c r="Y151" s="346">
        <f t="shared" si="72"/>
        <v>-38.332629637480778</v>
      </c>
      <c r="AA151" s="345">
        <f t="shared" si="73"/>
        <v>34.606072626669317</v>
      </c>
      <c r="AB151" s="346">
        <f t="shared" si="74"/>
        <v>-86.976518954011908</v>
      </c>
      <c r="AD151">
        <f t="shared" si="78"/>
        <v>0</v>
      </c>
      <c r="AE151">
        <f t="shared" si="53"/>
        <v>0</v>
      </c>
    </row>
    <row r="152" spans="1:31" x14ac:dyDescent="0.2">
      <c r="A152" s="350">
        <v>8610.5</v>
      </c>
      <c r="B152" s="364">
        <f t="shared" si="75"/>
        <v>8.6105</v>
      </c>
      <c r="C152" s="337">
        <f t="shared" si="54"/>
        <v>21.299044762099882</v>
      </c>
      <c r="D152" s="338">
        <f t="shared" si="55"/>
        <v>1.5238285980974597</v>
      </c>
      <c r="E152" s="338">
        <f t="shared" si="56"/>
        <v>1.0001317044331033</v>
      </c>
      <c r="F152" s="339">
        <f t="shared" si="57"/>
        <v>1.6228985161089806E-2</v>
      </c>
      <c r="G152" s="338">
        <f t="shared" si="58"/>
        <v>1</v>
      </c>
      <c r="H152" s="339">
        <f t="shared" si="59"/>
        <v>0</v>
      </c>
      <c r="I152" s="337">
        <f t="shared" si="60"/>
        <v>1143.9603174937947</v>
      </c>
      <c r="J152" s="340">
        <f t="shared" si="61"/>
        <v>1.569922170487142</v>
      </c>
      <c r="K152" s="348">
        <f t="shared" si="79"/>
        <v>1.6712105364739755</v>
      </c>
      <c r="L152" s="349">
        <f t="shared" si="80"/>
        <v>0.92933284438859742</v>
      </c>
      <c r="M152" s="337">
        <f t="shared" si="64"/>
        <v>1.0003335775591311</v>
      </c>
      <c r="N152" s="340">
        <f t="shared" si="65"/>
        <v>2.5825756801900086E-2</v>
      </c>
      <c r="O152" s="341">
        <f t="shared" si="66"/>
        <v>0.99998274451127367</v>
      </c>
      <c r="P152" s="342">
        <f t="shared" si="67"/>
        <v>1.0666465438106979E-2</v>
      </c>
      <c r="Q152" s="343">
        <f t="shared" si="68"/>
        <v>18.720051818093356</v>
      </c>
      <c r="R152" s="344">
        <f t="shared" si="69"/>
        <v>-125.17301026582354</v>
      </c>
      <c r="S152" s="346">
        <f t="shared" si="70"/>
        <v>54.826989734176465</v>
      </c>
      <c r="U152" s="319">
        <f t="shared" si="76"/>
        <v>1000000000</v>
      </c>
      <c r="V152" s="319">
        <f t="shared" si="77"/>
        <v>74140710.25</v>
      </c>
      <c r="X152" s="345">
        <f t="shared" si="71"/>
        <v>40.99673157535392</v>
      </c>
      <c r="Y152" s="346">
        <f t="shared" si="72"/>
        <v>-38.182771697686526</v>
      </c>
      <c r="AA152" s="345">
        <f t="shared" si="73"/>
        <v>34.556070400834443</v>
      </c>
      <c r="AB152" s="346">
        <f t="shared" si="74"/>
        <v>-86.99023856813703</v>
      </c>
      <c r="AD152">
        <f t="shared" si="78"/>
        <v>0</v>
      </c>
      <c r="AE152">
        <f t="shared" si="53"/>
        <v>0</v>
      </c>
    </row>
    <row r="153" spans="1:31" x14ac:dyDescent="0.2">
      <c r="A153" s="350">
        <v>8660.0499999999993</v>
      </c>
      <c r="B153" s="364">
        <f t="shared" si="75"/>
        <v>8.66005</v>
      </c>
      <c r="C153" s="337">
        <f t="shared" si="54"/>
        <v>21.421342876425857</v>
      </c>
      <c r="D153" s="338">
        <f t="shared" si="55"/>
        <v>1.5240969405620675</v>
      </c>
      <c r="E153" s="338">
        <f t="shared" si="56"/>
        <v>1.0001332245064773</v>
      </c>
      <c r="F153" s="339">
        <f t="shared" si="57"/>
        <v>1.6322359971382174E-2</v>
      </c>
      <c r="G153" s="338">
        <f t="shared" si="58"/>
        <v>1</v>
      </c>
      <c r="H153" s="339">
        <f t="shared" si="59"/>
        <v>0</v>
      </c>
      <c r="I153" s="337">
        <f t="shared" si="60"/>
        <v>1150.5433487395171</v>
      </c>
      <c r="J153" s="340">
        <f t="shared" si="61"/>
        <v>1.5699271721237575</v>
      </c>
      <c r="K153" s="348">
        <f t="shared" si="79"/>
        <v>1.6773906512744121</v>
      </c>
      <c r="L153" s="349">
        <f t="shared" si="80"/>
        <v>0.93208158585172574</v>
      </c>
      <c r="M153" s="337">
        <f t="shared" si="64"/>
        <v>1.0003374271684642</v>
      </c>
      <c r="N153" s="340">
        <f t="shared" si="65"/>
        <v>2.597430710776873E-2</v>
      </c>
      <c r="O153" s="341">
        <f t="shared" si="66"/>
        <v>0.99998254537326436</v>
      </c>
      <c r="P153" s="342">
        <f t="shared" si="67"/>
        <v>1.0727851185340377E-2</v>
      </c>
      <c r="Q153" s="343">
        <f t="shared" si="68"/>
        <v>18.652522526429504</v>
      </c>
      <c r="R153" s="344">
        <f t="shared" si="69"/>
        <v>-125.03785891148198</v>
      </c>
      <c r="S153" s="346">
        <f t="shared" si="70"/>
        <v>54.962141088518024</v>
      </c>
      <c r="U153" s="319">
        <f t="shared" si="76"/>
        <v>1000000000</v>
      </c>
      <c r="V153" s="319">
        <f t="shared" si="77"/>
        <v>74996466.002499983</v>
      </c>
      <c r="X153" s="345">
        <f t="shared" si="71"/>
        <v>40.978918681507857</v>
      </c>
      <c r="Y153" s="346">
        <f t="shared" si="72"/>
        <v>-38.034078290947136</v>
      </c>
      <c r="AA153" s="345">
        <f t="shared" si="73"/>
        <v>34.506354003016654</v>
      </c>
      <c r="AB153" s="346">
        <f t="shared" si="74"/>
        <v>-87.003780620534798</v>
      </c>
      <c r="AD153">
        <f t="shared" si="78"/>
        <v>0</v>
      </c>
      <c r="AE153">
        <f t="shared" si="53"/>
        <v>0</v>
      </c>
    </row>
    <row r="154" spans="1:31" x14ac:dyDescent="0.2">
      <c r="A154" s="350">
        <v>8709.6</v>
      </c>
      <c r="B154" s="364">
        <f t="shared" si="75"/>
        <v>8.7096</v>
      </c>
      <c r="C154" s="337">
        <f t="shared" si="54"/>
        <v>21.543642515740121</v>
      </c>
      <c r="D154" s="338">
        <f t="shared" si="55"/>
        <v>1.5243622363754161</v>
      </c>
      <c r="E154" s="338">
        <f t="shared" si="56"/>
        <v>1.0001347532998419</v>
      </c>
      <c r="F154" s="339">
        <f t="shared" si="57"/>
        <v>1.641573449702555E-2</v>
      </c>
      <c r="G154" s="338">
        <f t="shared" si="58"/>
        <v>1</v>
      </c>
      <c r="H154" s="339">
        <f t="shared" si="59"/>
        <v>0</v>
      </c>
      <c r="I154" s="337">
        <f t="shared" si="60"/>
        <v>1157.1263800136949</v>
      </c>
      <c r="J154" s="340">
        <f t="shared" si="61"/>
        <v>1.5699321168505476</v>
      </c>
      <c r="K154" s="348">
        <f t="shared" si="79"/>
        <v>1.6835833466326771</v>
      </c>
      <c r="L154" s="349">
        <f t="shared" si="80"/>
        <v>0.93481012650859219</v>
      </c>
      <c r="M154" s="337">
        <f t="shared" si="64"/>
        <v>1.0003412988522669</v>
      </c>
      <c r="N154" s="340">
        <f t="shared" si="65"/>
        <v>2.612285626702825E-2</v>
      </c>
      <c r="O154" s="341">
        <f t="shared" si="66"/>
        <v>0.99998234509328165</v>
      </c>
      <c r="P154" s="342">
        <f t="shared" si="67"/>
        <v>1.0789237009770794E-2</v>
      </c>
      <c r="Q154" s="343">
        <f t="shared" si="68"/>
        <v>18.585506988849481</v>
      </c>
      <c r="R154" s="344">
        <f t="shared" si="69"/>
        <v>-124.90368711216779</v>
      </c>
      <c r="S154" s="346">
        <f t="shared" si="70"/>
        <v>55.096312887832212</v>
      </c>
      <c r="U154" s="319">
        <f t="shared" si="76"/>
        <v>1000000000</v>
      </c>
      <c r="V154" s="319">
        <f t="shared" si="77"/>
        <v>75857132.160000011</v>
      </c>
      <c r="X154" s="345">
        <f t="shared" si="71"/>
        <v>40.961336952929123</v>
      </c>
      <c r="Y154" s="346">
        <f t="shared" si="72"/>
        <v>-37.886538978761941</v>
      </c>
      <c r="AA154" s="345">
        <f t="shared" si="73"/>
        <v>34.456920194015368</v>
      </c>
      <c r="AB154" s="346">
        <f t="shared" si="74"/>
        <v>-87.017148133405854</v>
      </c>
      <c r="AD154">
        <f t="shared" si="78"/>
        <v>0</v>
      </c>
      <c r="AE154">
        <f t="shared" ref="AE154:AE217" si="81">IF(AD154&gt;0,S154,0)</f>
        <v>0</v>
      </c>
    </row>
    <row r="155" spans="1:31" x14ac:dyDescent="0.2">
      <c r="A155" s="350">
        <v>8760.3250000000007</v>
      </c>
      <c r="B155" s="364">
        <f t="shared" si="75"/>
        <v>8.7603249999999999</v>
      </c>
      <c r="C155" s="337">
        <f t="shared" si="54"/>
        <v>21.66884385056624</v>
      </c>
      <c r="D155" s="338">
        <f t="shared" si="55"/>
        <v>1.5246307212017227</v>
      </c>
      <c r="E155" s="338">
        <f t="shared" si="56"/>
        <v>1.0001363273786978</v>
      </c>
      <c r="F155" s="339">
        <f t="shared" si="57"/>
        <v>1.6511322955533703E-2</v>
      </c>
      <c r="G155" s="338">
        <f t="shared" si="58"/>
        <v>1</v>
      </c>
      <c r="H155" s="339">
        <f t="shared" si="59"/>
        <v>0</v>
      </c>
      <c r="I155" s="337">
        <f t="shared" si="60"/>
        <v>1163.8655175075023</v>
      </c>
      <c r="J155" s="340">
        <f t="shared" si="61"/>
        <v>1.569937120891812</v>
      </c>
      <c r="K155" s="348">
        <f t="shared" si="79"/>
        <v>1.6899357791737191</v>
      </c>
      <c r="L155" s="349">
        <f t="shared" si="80"/>
        <v>0.93758263484782989</v>
      </c>
      <c r="M155" s="337">
        <f t="shared" si="64"/>
        <v>1.0003452852125363</v>
      </c>
      <c r="N155" s="340">
        <f t="shared" si="65"/>
        <v>2.6274926840461503E-2</v>
      </c>
      <c r="O155" s="341">
        <f t="shared" si="66"/>
        <v>0.99998213888107301</v>
      </c>
      <c r="P155" s="342">
        <f t="shared" si="67"/>
        <v>1.085207858251204E-2</v>
      </c>
      <c r="Q155" s="343">
        <f t="shared" si="68"/>
        <v>18.517427178827589</v>
      </c>
      <c r="R155" s="344">
        <f t="shared" si="69"/>
        <v>-124.76734058706371</v>
      </c>
      <c r="S155" s="346">
        <f t="shared" si="70"/>
        <v>55.232659412936286</v>
      </c>
      <c r="U155" s="319">
        <f t="shared" si="76"/>
        <v>1000000000</v>
      </c>
      <c r="V155" s="319">
        <f t="shared" si="77"/>
        <v>76743294.105625018</v>
      </c>
      <c r="X155" s="345">
        <f t="shared" si="71"/>
        <v>40.943573801094722</v>
      </c>
      <c r="Y155" s="346">
        <f t="shared" si="72"/>
        <v>-37.736685664578388</v>
      </c>
      <c r="AA155" s="345">
        <f t="shared" si="73"/>
        <v>34.40660353582787</v>
      </c>
      <c r="AB155" s="346">
        <f t="shared" si="74"/>
        <v>-87.030654922485311</v>
      </c>
      <c r="AD155">
        <f t="shared" si="78"/>
        <v>0</v>
      </c>
      <c r="AE155">
        <f t="shared" si="81"/>
        <v>0</v>
      </c>
    </row>
    <row r="156" spans="1:31" x14ac:dyDescent="0.2">
      <c r="A156" s="350">
        <v>8811.0499999999993</v>
      </c>
      <c r="B156" s="364">
        <f t="shared" si="75"/>
        <v>8.8110499999999998</v>
      </c>
      <c r="C156" s="337">
        <f t="shared" si="54"/>
        <v>21.79404672942508</v>
      </c>
      <c r="D156" s="338">
        <f t="shared" si="55"/>
        <v>1.5248961212528962</v>
      </c>
      <c r="E156" s="338">
        <f t="shared" si="56"/>
        <v>1.0001379105959243</v>
      </c>
      <c r="F156" s="339">
        <f t="shared" si="57"/>
        <v>1.6606911112282397E-2</v>
      </c>
      <c r="G156" s="338">
        <f t="shared" si="58"/>
        <v>1</v>
      </c>
      <c r="H156" s="339">
        <f t="shared" si="59"/>
        <v>0</v>
      </c>
      <c r="I156" s="337">
        <f t="shared" si="60"/>
        <v>1170.6046550301178</v>
      </c>
      <c r="J156" s="340">
        <f t="shared" si="61"/>
        <v>1.5699420673168316</v>
      </c>
      <c r="K156" s="348">
        <f t="shared" si="79"/>
        <v>1.6963011045660001</v>
      </c>
      <c r="L156" s="349">
        <f t="shared" si="80"/>
        <v>0.94033435667742948</v>
      </c>
      <c r="M156" s="337">
        <f t="shared" si="64"/>
        <v>1.0003492947060655</v>
      </c>
      <c r="N156" s="340">
        <f t="shared" si="65"/>
        <v>2.642699619838524E-2</v>
      </c>
      <c r="O156" s="341">
        <f t="shared" si="66"/>
        <v>0.99998193147211423</v>
      </c>
      <c r="P156" s="342">
        <f t="shared" si="67"/>
        <v>1.0914920237091626E-2</v>
      </c>
      <c r="Q156" s="343">
        <f t="shared" si="68"/>
        <v>18.449871130644297</v>
      </c>
      <c r="R156" s="344">
        <f t="shared" si="69"/>
        <v>-124.63200494780529</v>
      </c>
      <c r="S156" s="346">
        <f t="shared" si="70"/>
        <v>55.367995052194715</v>
      </c>
      <c r="U156" s="319">
        <f t="shared" si="76"/>
        <v>1000000000</v>
      </c>
      <c r="V156" s="319">
        <f t="shared" si="77"/>
        <v>77634602.102499992</v>
      </c>
      <c r="X156" s="345">
        <f t="shared" si="71"/>
        <v>40.926044956760286</v>
      </c>
      <c r="Y156" s="346">
        <f t="shared" si="72"/>
        <v>-37.588019958858034</v>
      </c>
      <c r="AA156" s="345">
        <f t="shared" si="73"/>
        <v>34.356576331979014</v>
      </c>
      <c r="AB156" s="346">
        <f t="shared" si="74"/>
        <v>-87.04398498894723</v>
      </c>
      <c r="AD156">
        <f t="shared" si="78"/>
        <v>0</v>
      </c>
      <c r="AE156">
        <f t="shared" si="81"/>
        <v>0</v>
      </c>
    </row>
    <row r="157" spans="1:31" x14ac:dyDescent="0.2">
      <c r="A157" s="350">
        <v>8861.7749999999996</v>
      </c>
      <c r="B157" s="364">
        <f t="shared" si="75"/>
        <v>8.8617749999999997</v>
      </c>
      <c r="C157" s="337">
        <f t="shared" si="54"/>
        <v>21.919251125858082</v>
      </c>
      <c r="D157" s="338">
        <f t="shared" si="55"/>
        <v>1.5251584893526204</v>
      </c>
      <c r="E157" s="338">
        <f t="shared" si="56"/>
        <v>1.0001395029514775</v>
      </c>
      <c r="F157" s="339">
        <f t="shared" si="57"/>
        <v>1.6702498965526287E-2</v>
      </c>
      <c r="G157" s="338">
        <f t="shared" si="58"/>
        <v>1</v>
      </c>
      <c r="H157" s="339">
        <f t="shared" si="59"/>
        <v>0</v>
      </c>
      <c r="I157" s="337">
        <f t="shared" si="60"/>
        <v>1177.3437925810467</v>
      </c>
      <c r="J157" s="340">
        <f t="shared" si="61"/>
        <v>1.5699469571149955</v>
      </c>
      <c r="K157" s="348">
        <f t="shared" si="79"/>
        <v>1.7026791782129505</v>
      </c>
      <c r="L157" s="349">
        <f t="shared" si="80"/>
        <v>0.94306548368371523</v>
      </c>
      <c r="M157" s="337">
        <f t="shared" si="64"/>
        <v>1.000353327332576</v>
      </c>
      <c r="N157" s="340">
        <f t="shared" si="65"/>
        <v>2.6579064333780891E-2</v>
      </c>
      <c r="O157" s="341">
        <f t="shared" si="66"/>
        <v>0.99998172286641795</v>
      </c>
      <c r="P157" s="342">
        <f t="shared" si="67"/>
        <v>1.097776197398339E-2</v>
      </c>
      <c r="Q157" s="343">
        <f t="shared" si="68"/>
        <v>18.382831639085161</v>
      </c>
      <c r="R157" s="344">
        <f t="shared" si="69"/>
        <v>-124.49767229456209</v>
      </c>
      <c r="S157" s="346">
        <f t="shared" si="70"/>
        <v>55.502327705437907</v>
      </c>
      <c r="U157" s="319">
        <f t="shared" si="76"/>
        <v>1000000000</v>
      </c>
      <c r="V157" s="319">
        <f t="shared" si="77"/>
        <v>78531056.15062499</v>
      </c>
      <c r="X157" s="345">
        <f t="shared" si="71"/>
        <v>40.908746515892162</v>
      </c>
      <c r="Y157" s="346">
        <f t="shared" si="72"/>
        <v>-37.440530935069191</v>
      </c>
      <c r="AA157" s="345">
        <f t="shared" si="73"/>
        <v>34.306835281288016</v>
      </c>
      <c r="AB157" s="346">
        <f t="shared" si="74"/>
        <v>-87.057141359492917</v>
      </c>
      <c r="AD157">
        <f t="shared" si="78"/>
        <v>0</v>
      </c>
      <c r="AE157">
        <f t="shared" si="81"/>
        <v>0</v>
      </c>
    </row>
    <row r="158" spans="1:31" x14ac:dyDescent="0.2">
      <c r="A158" s="347">
        <v>8912.5</v>
      </c>
      <c r="B158" s="364">
        <f t="shared" si="75"/>
        <v>8.9124999999999996</v>
      </c>
      <c r="C158" s="337">
        <f t="shared" si="54"/>
        <v>22.04445701400746</v>
      </c>
      <c r="D158" s="338">
        <f t="shared" si="55"/>
        <v>1.5254178771261815</v>
      </c>
      <c r="E158" s="338">
        <f t="shared" si="56"/>
        <v>1.0001411044453139</v>
      </c>
      <c r="F158" s="339">
        <f t="shared" si="57"/>
        <v>1.6798086513520046E-2</v>
      </c>
      <c r="G158" s="338">
        <f t="shared" si="58"/>
        <v>1</v>
      </c>
      <c r="H158" s="339">
        <f t="shared" si="59"/>
        <v>0</v>
      </c>
      <c r="I158" s="337">
        <f t="shared" si="60"/>
        <v>1184.082930159806</v>
      </c>
      <c r="J158" s="340">
        <f t="shared" si="61"/>
        <v>1.5699517912531686</v>
      </c>
      <c r="K158" s="348">
        <f t="shared" ref="K158:K214" si="82">SQRT(1+(A158/Zero2)^2)</f>
        <v>1.7090698573890337</v>
      </c>
      <c r="L158" s="349">
        <f t="shared" ref="L158:L214" si="83">ATAN(A158/Zero2)</f>
        <v>0.94577620592347933</v>
      </c>
      <c r="M158" s="337">
        <f t="shared" si="64"/>
        <v>1.0003573830917878</v>
      </c>
      <c r="N158" s="340">
        <f t="shared" si="65"/>
        <v>2.673113123963022E-2</v>
      </c>
      <c r="O158" s="341">
        <f t="shared" si="66"/>
        <v>0.99998151306399741</v>
      </c>
      <c r="P158" s="342">
        <f t="shared" si="67"/>
        <v>1.1040603793661168E-2</v>
      </c>
      <c r="Q158" s="343">
        <f t="shared" si="68"/>
        <v>18.316301632079842</v>
      </c>
      <c r="R158" s="344">
        <f t="shared" si="69"/>
        <v>-124.36433475091545</v>
      </c>
      <c r="S158" s="346">
        <f t="shared" si="70"/>
        <v>55.635665249084553</v>
      </c>
      <c r="U158" s="319">
        <f t="shared" si="76"/>
        <v>1000000000</v>
      </c>
      <c r="V158" s="319">
        <f t="shared" si="77"/>
        <v>79432656.25</v>
      </c>
      <c r="X158" s="345">
        <f t="shared" si="71"/>
        <v>40.891674651547902</v>
      </c>
      <c r="Y158" s="346">
        <f t="shared" si="72"/>
        <v>-37.294207758754936</v>
      </c>
      <c r="AA158" s="345">
        <f t="shared" si="73"/>
        <v>34.25737713862695</v>
      </c>
      <c r="AB158" s="346">
        <f t="shared" si="74"/>
        <v>-87.07012699216051</v>
      </c>
      <c r="AD158">
        <f t="shared" si="78"/>
        <v>0</v>
      </c>
      <c r="AE158">
        <f t="shared" si="81"/>
        <v>0</v>
      </c>
    </row>
    <row r="159" spans="1:31" x14ac:dyDescent="0.2">
      <c r="A159" s="347">
        <v>8964.4</v>
      </c>
      <c r="B159" s="364">
        <f t="shared" si="75"/>
        <v>8.9643999999999995</v>
      </c>
      <c r="C159" s="337">
        <f t="shared" si="54"/>
        <v>22.172564703997303</v>
      </c>
      <c r="D159" s="338">
        <f t="shared" si="55"/>
        <v>1.5256802413325243</v>
      </c>
      <c r="E159" s="338">
        <f t="shared" si="56"/>
        <v>1.0001427524945556</v>
      </c>
      <c r="F159" s="339">
        <f t="shared" si="57"/>
        <v>1.6895887945211869E-2</v>
      </c>
      <c r="G159" s="338">
        <f t="shared" si="58"/>
        <v>1</v>
      </c>
      <c r="H159" s="339">
        <f t="shared" si="59"/>
        <v>0</v>
      </c>
      <c r="I159" s="337">
        <f t="shared" si="60"/>
        <v>1190.9781739601747</v>
      </c>
      <c r="J159" s="340">
        <f t="shared" si="61"/>
        <v>1.5699566807464926</v>
      </c>
      <c r="K159" s="348">
        <f t="shared" si="82"/>
        <v>1.715621471004751</v>
      </c>
      <c r="L159" s="349">
        <f t="shared" si="83"/>
        <v>0.94852879695135117</v>
      </c>
      <c r="M159" s="337">
        <f t="shared" si="64"/>
        <v>1.0003615567414814</v>
      </c>
      <c r="N159" s="340">
        <f t="shared" si="65"/>
        <v>2.6886719361655695E-2</v>
      </c>
      <c r="O159" s="341">
        <f t="shared" si="66"/>
        <v>0.99998129716307516</v>
      </c>
      <c r="P159" s="342">
        <f t="shared" si="67"/>
        <v>1.1104901374986023E-2</v>
      </c>
      <c r="Q159" s="343">
        <f t="shared" si="68"/>
        <v>18.248750600167622</v>
      </c>
      <c r="R159" s="344">
        <f t="shared" si="69"/>
        <v>-124.22893032469923</v>
      </c>
      <c r="S159" s="346">
        <f t="shared" si="70"/>
        <v>55.771069675300765</v>
      </c>
      <c r="U159" s="319">
        <f t="shared" si="76"/>
        <v>1000000000</v>
      </c>
      <c r="V159" s="319">
        <f t="shared" si="77"/>
        <v>80360467.359999999</v>
      </c>
      <c r="X159" s="345">
        <f t="shared" si="71"/>
        <v>40.874437929970107</v>
      </c>
      <c r="Y159" s="346">
        <f t="shared" si="72"/>
        <v>-37.145690600028459</v>
      </c>
      <c r="AA159" s="345">
        <f t="shared" si="73"/>
        <v>34.207062828292521</v>
      </c>
      <c r="AB159" s="346">
        <f t="shared" si="74"/>
        <v>-87.083239724670761</v>
      </c>
      <c r="AD159">
        <f t="shared" si="78"/>
        <v>0</v>
      </c>
      <c r="AE159">
        <f t="shared" si="81"/>
        <v>0</v>
      </c>
    </row>
    <row r="160" spans="1:31" x14ac:dyDescent="0.2">
      <c r="A160" s="347">
        <v>9016.2999999999993</v>
      </c>
      <c r="B160" s="364">
        <f t="shared" si="75"/>
        <v>9.0162999999999993</v>
      </c>
      <c r="C160" s="337">
        <f t="shared" si="54"/>
        <v>22.300673902699799</v>
      </c>
      <c r="D160" s="338">
        <f t="shared" si="55"/>
        <v>1.5259395911841234</v>
      </c>
      <c r="E160" s="338">
        <f t="shared" si="56"/>
        <v>1.0001444101102515</v>
      </c>
      <c r="F160" s="339">
        <f t="shared" si="57"/>
        <v>1.6993689053651614E-2</v>
      </c>
      <c r="G160" s="338">
        <f t="shared" si="58"/>
        <v>1</v>
      </c>
      <c r="H160" s="339">
        <f t="shared" si="59"/>
        <v>0</v>
      </c>
      <c r="I160" s="337">
        <f t="shared" si="60"/>
        <v>1197.8734177886884</v>
      </c>
      <c r="J160" s="340">
        <f t="shared" si="61"/>
        <v>1.5699615139496479</v>
      </c>
      <c r="K160" s="348">
        <f t="shared" si="82"/>
        <v>1.7221859845093439</v>
      </c>
      <c r="L160" s="349">
        <f t="shared" si="83"/>
        <v>0.95126042425968294</v>
      </c>
      <c r="M160" s="337">
        <f t="shared" si="64"/>
        <v>1.0003657546073885</v>
      </c>
      <c r="N160" s="340">
        <f t="shared" si="65"/>
        <v>2.7042306181648993E-2</v>
      </c>
      <c r="O160" s="341">
        <f t="shared" si="66"/>
        <v>0.99998108000937247</v>
      </c>
      <c r="P160" s="342">
        <f t="shared" si="67"/>
        <v>1.1169199043980218E-2</v>
      </c>
      <c r="Q160" s="343">
        <f t="shared" si="68"/>
        <v>18.181718365153177</v>
      </c>
      <c r="R160" s="344">
        <f t="shared" si="69"/>
        <v>-124.09455104508595</v>
      </c>
      <c r="S160" s="346">
        <f t="shared" si="70"/>
        <v>55.90544895491405</v>
      </c>
      <c r="U160" s="319">
        <f t="shared" si="76"/>
        <v>1000000000</v>
      </c>
      <c r="V160" s="319">
        <f t="shared" si="77"/>
        <v>81293665.689999983</v>
      </c>
      <c r="X160" s="345">
        <f t="shared" si="71"/>
        <v>40.857430537641349</v>
      </c>
      <c r="Y160" s="346">
        <f t="shared" si="72"/>
        <v>-36.998371274165827</v>
      </c>
      <c r="AA160" s="345">
        <f t="shared" si="73"/>
        <v>34.157037985606834</v>
      </c>
      <c r="AB160" s="346">
        <f t="shared" si="74"/>
        <v>-87.096179770920116</v>
      </c>
      <c r="AD160">
        <f t="shared" si="78"/>
        <v>0</v>
      </c>
      <c r="AE160">
        <f t="shared" si="81"/>
        <v>0</v>
      </c>
    </row>
    <row r="161" spans="1:31" x14ac:dyDescent="0.2">
      <c r="A161" s="347">
        <v>9068.2000000000007</v>
      </c>
      <c r="B161" s="364">
        <f t="shared" si="75"/>
        <v>9.0682000000000009</v>
      </c>
      <c r="C161" s="337">
        <f t="shared" si="54"/>
        <v>22.428784584262463</v>
      </c>
      <c r="D161" s="338">
        <f t="shared" si="55"/>
        <v>1.5261959782987475</v>
      </c>
      <c r="E161" s="338">
        <f t="shared" si="56"/>
        <v>1.0001460772923534</v>
      </c>
      <c r="F161" s="339">
        <f t="shared" si="57"/>
        <v>1.7091489836969943E-2</v>
      </c>
      <c r="G161" s="338">
        <f t="shared" si="58"/>
        <v>1</v>
      </c>
      <c r="H161" s="339">
        <f t="shared" si="59"/>
        <v>0</v>
      </c>
      <c r="I161" s="337">
        <f t="shared" si="60"/>
        <v>1204.7686616448643</v>
      </c>
      <c r="J161" s="340">
        <f t="shared" si="61"/>
        <v>1.5699662918291291</v>
      </c>
      <c r="K161" s="348">
        <f t="shared" si="82"/>
        <v>1.7287632509512425</v>
      </c>
      <c r="L161" s="349">
        <f t="shared" si="83"/>
        <v>0.95397128612587834</v>
      </c>
      <c r="M161" s="337">
        <f t="shared" si="64"/>
        <v>1.0003699766892047</v>
      </c>
      <c r="N161" s="340">
        <f t="shared" si="65"/>
        <v>2.7197891692093898E-2</v>
      </c>
      <c r="O161" s="341">
        <f t="shared" si="66"/>
        <v>0.99998086160290334</v>
      </c>
      <c r="P161" s="342">
        <f t="shared" si="67"/>
        <v>1.1233496801151292E-2</v>
      </c>
      <c r="Q161" s="343">
        <f t="shared" si="68"/>
        <v>18.115197765443167</v>
      </c>
      <c r="R161" s="344">
        <f t="shared" si="69"/>
        <v>-123.96118856417911</v>
      </c>
      <c r="S161" s="346">
        <f t="shared" si="70"/>
        <v>56.03881143582089</v>
      </c>
      <c r="U161" s="319">
        <f t="shared" si="76"/>
        <v>1000000000</v>
      </c>
      <c r="V161" s="319">
        <f t="shared" si="77"/>
        <v>82232251.24000001</v>
      </c>
      <c r="X161" s="345">
        <f t="shared" si="71"/>
        <v>40.84064861477848</v>
      </c>
      <c r="Y161" s="346">
        <f t="shared" si="72"/>
        <v>-36.852238475654062</v>
      </c>
      <c r="AA161" s="345">
        <f t="shared" si="73"/>
        <v>34.107299308759693</v>
      </c>
      <c r="AB161" s="346">
        <f t="shared" si="74"/>
        <v>-87.108950088525063</v>
      </c>
      <c r="AD161">
        <f t="shared" si="78"/>
        <v>0</v>
      </c>
      <c r="AE161">
        <f t="shared" si="81"/>
        <v>0</v>
      </c>
    </row>
    <row r="162" spans="1:31" x14ac:dyDescent="0.2">
      <c r="A162" s="347">
        <v>9120.1</v>
      </c>
      <c r="B162" s="364">
        <f t="shared" si="75"/>
        <v>9.1201000000000008</v>
      </c>
      <c r="C162" s="337">
        <f t="shared" si="54"/>
        <v>22.556896723419808</v>
      </c>
      <c r="D162" s="338">
        <f t="shared" si="55"/>
        <v>1.5264494531230899</v>
      </c>
      <c r="E162" s="338">
        <f t="shared" si="56"/>
        <v>1.0001477540408139</v>
      </c>
      <c r="F162" s="339">
        <f t="shared" si="57"/>
        <v>1.7189290293297552E-2</v>
      </c>
      <c r="G162" s="338">
        <f t="shared" si="58"/>
        <v>1</v>
      </c>
      <c r="H162" s="339">
        <f t="shared" si="59"/>
        <v>0</v>
      </c>
      <c r="I162" s="337">
        <f t="shared" si="60"/>
        <v>1211.6639055282299</v>
      </c>
      <c r="J162" s="340">
        <f t="shared" si="61"/>
        <v>1.5699710153294311</v>
      </c>
      <c r="K162" s="348">
        <f t="shared" si="82"/>
        <v>1.7353531253234242</v>
      </c>
      <c r="L162" s="349">
        <f t="shared" si="83"/>
        <v>0.95666157904512961</v>
      </c>
      <c r="M162" s="337">
        <f t="shared" si="64"/>
        <v>1.0003742229866233</v>
      </c>
      <c r="N162" s="340">
        <f t="shared" si="65"/>
        <v>2.7353475885474553E-2</v>
      </c>
      <c r="O162" s="341">
        <f t="shared" si="66"/>
        <v>0.99998064194368252</v>
      </c>
      <c r="P162" s="342">
        <f t="shared" si="67"/>
        <v>1.1297794647006764E-2</v>
      </c>
      <c r="Q162" s="343">
        <f t="shared" si="68"/>
        <v>18.049181772551929</v>
      </c>
      <c r="R162" s="344">
        <f t="shared" si="69"/>
        <v>-123.82883456783728</v>
      </c>
      <c r="S162" s="346">
        <f t="shared" si="70"/>
        <v>56.171165432162724</v>
      </c>
      <c r="U162" s="319">
        <f t="shared" si="76"/>
        <v>1000000000</v>
      </c>
      <c r="V162" s="319">
        <f t="shared" si="77"/>
        <v>83176224.010000005</v>
      </c>
      <c r="X162" s="345">
        <f t="shared" si="71"/>
        <v>40.824088378628147</v>
      </c>
      <c r="Y162" s="346">
        <f t="shared" si="72"/>
        <v>-36.707280999832889</v>
      </c>
      <c r="AA162" s="345">
        <f t="shared" si="73"/>
        <v>34.057843552018795</v>
      </c>
      <c r="AB162" s="346">
        <f t="shared" si="74"/>
        <v>-87.121553568004373</v>
      </c>
      <c r="AD162">
        <f t="shared" si="78"/>
        <v>0</v>
      </c>
      <c r="AE162">
        <f t="shared" si="81"/>
        <v>0</v>
      </c>
    </row>
    <row r="163" spans="1:31" x14ac:dyDescent="0.2">
      <c r="A163" s="347">
        <v>9173.2000000000007</v>
      </c>
      <c r="B163" s="364">
        <f t="shared" si="75"/>
        <v>9.1732000000000014</v>
      </c>
      <c r="C163" s="337">
        <f t="shared" si="54"/>
        <v>22.687972475747308</v>
      </c>
      <c r="D163" s="338">
        <f t="shared" si="55"/>
        <v>1.5267058259825186</v>
      </c>
      <c r="E163" s="338">
        <f t="shared" si="56"/>
        <v>1.0001494794586716</v>
      </c>
      <c r="F163" s="339">
        <f t="shared" si="57"/>
        <v>1.7289351691484055E-2</v>
      </c>
      <c r="G163" s="338">
        <f t="shared" si="58"/>
        <v>1</v>
      </c>
      <c r="H163" s="339">
        <f t="shared" si="59"/>
        <v>0</v>
      </c>
      <c r="I163" s="337">
        <f t="shared" si="60"/>
        <v>1218.7185770434933</v>
      </c>
      <c r="J163" s="340">
        <f t="shared" si="61"/>
        <v>1.5699757927265323</v>
      </c>
      <c r="K163" s="348">
        <f t="shared" si="82"/>
        <v>1.7421082660833518</v>
      </c>
      <c r="L163" s="349">
        <f t="shared" si="83"/>
        <v>0.95939299051330873</v>
      </c>
      <c r="M163" s="337">
        <f t="shared" si="64"/>
        <v>1.0003785925259296</v>
      </c>
      <c r="N163" s="340">
        <f t="shared" si="65"/>
        <v>2.7512656030312634E-2</v>
      </c>
      <c r="O163" s="341">
        <f t="shared" si="66"/>
        <v>0.99998041590911568</v>
      </c>
      <c r="P163" s="342">
        <f t="shared" si="67"/>
        <v>1.1363579240570925E-2</v>
      </c>
      <c r="Q163" s="343">
        <f t="shared" si="68"/>
        <v>17.982154447083108</v>
      </c>
      <c r="R163" s="344">
        <f t="shared" si="69"/>
        <v>-123.69445546020278</v>
      </c>
      <c r="S163" s="346">
        <f t="shared" si="70"/>
        <v>56.305544539797225</v>
      </c>
      <c r="U163" s="319">
        <f t="shared" si="76"/>
        <v>1000000000</v>
      </c>
      <c r="V163" s="319">
        <f t="shared" si="77"/>
        <v>84147598.24000001</v>
      </c>
      <c r="X163" s="345">
        <f t="shared" si="71"/>
        <v>40.807370815179588</v>
      </c>
      <c r="Y163" s="346">
        <f t="shared" si="72"/>
        <v>-36.560176725596975</v>
      </c>
      <c r="AA163" s="345">
        <f t="shared" si="73"/>
        <v>34.007533789998533</v>
      </c>
      <c r="AB163" s="346">
        <f t="shared" si="74"/>
        <v>-87.134278734605815</v>
      </c>
      <c r="AD163">
        <f t="shared" si="78"/>
        <v>0</v>
      </c>
      <c r="AE163">
        <f t="shared" si="81"/>
        <v>0</v>
      </c>
    </row>
    <row r="164" spans="1:31" x14ac:dyDescent="0.2">
      <c r="A164" s="347">
        <v>9226.2999999999993</v>
      </c>
      <c r="B164" s="364">
        <f t="shared" si="75"/>
        <v>9.2262999999999984</v>
      </c>
      <c r="C164" s="337">
        <f t="shared" si="54"/>
        <v>22.819049702156622</v>
      </c>
      <c r="D164" s="338">
        <f t="shared" si="55"/>
        <v>1.5269592535435632</v>
      </c>
      <c r="E164" s="338">
        <f t="shared" si="56"/>
        <v>1.0001512148902747</v>
      </c>
      <c r="F164" s="339">
        <f t="shared" si="57"/>
        <v>1.7389412743425474E-2</v>
      </c>
      <c r="G164" s="338">
        <f t="shared" si="58"/>
        <v>1</v>
      </c>
      <c r="H164" s="339">
        <f t="shared" si="59"/>
        <v>0</v>
      </c>
      <c r="I164" s="337">
        <f t="shared" si="60"/>
        <v>1225.7732485862518</v>
      </c>
      <c r="J164" s="340">
        <f t="shared" si="61"/>
        <v>1.5699805151330921</v>
      </c>
      <c r="K164" s="348">
        <f t="shared" si="82"/>
        <v>1.7488763035700421</v>
      </c>
      <c r="L164" s="349">
        <f t="shared" si="83"/>
        <v>0.96210328130252953</v>
      </c>
      <c r="M164" s="337">
        <f t="shared" si="64"/>
        <v>1.0003829874129258</v>
      </c>
      <c r="N164" s="340">
        <f t="shared" si="65"/>
        <v>2.7671834780562163E-2</v>
      </c>
      <c r="O164" s="341">
        <f t="shared" si="66"/>
        <v>0.99998018856322735</v>
      </c>
      <c r="P164" s="342">
        <f t="shared" si="67"/>
        <v>1.1429363928042738E-2</v>
      </c>
      <c r="Q164" s="343">
        <f t="shared" si="68"/>
        <v>17.915640861687034</v>
      </c>
      <c r="R164" s="344">
        <f t="shared" si="69"/>
        <v>-123.5611145197564</v>
      </c>
      <c r="S164" s="346">
        <f t="shared" si="70"/>
        <v>56.438885480243599</v>
      </c>
      <c r="U164" s="319">
        <f t="shared" si="76"/>
        <v>1000000000</v>
      </c>
      <c r="V164" s="319">
        <f t="shared" si="77"/>
        <v>85124611.689999983</v>
      </c>
      <c r="X164" s="345">
        <f t="shared" si="71"/>
        <v>40.790877536758416</v>
      </c>
      <c r="Y164" s="346">
        <f t="shared" si="72"/>
        <v>-36.414279346497217</v>
      </c>
      <c r="AA164" s="345">
        <f t="shared" si="73"/>
        <v>33.957513483023625</v>
      </c>
      <c r="AB164" s="346">
        <f t="shared" si="74"/>
        <v>-87.146835173259149</v>
      </c>
      <c r="AD164">
        <f t="shared" si="78"/>
        <v>0</v>
      </c>
      <c r="AE164">
        <f t="shared" si="81"/>
        <v>0</v>
      </c>
    </row>
    <row r="165" spans="1:31" x14ac:dyDescent="0.2">
      <c r="A165" s="347">
        <v>9279.4</v>
      </c>
      <c r="B165" s="364">
        <f t="shared" si="75"/>
        <v>9.279399999999999</v>
      </c>
      <c r="C165" s="337">
        <f t="shared" si="54"/>
        <v>22.95012837739057</v>
      </c>
      <c r="D165" s="338">
        <f t="shared" si="55"/>
        <v>1.5272097862392251</v>
      </c>
      <c r="E165" s="338">
        <f t="shared" si="56"/>
        <v>1.000152960335571</v>
      </c>
      <c r="F165" s="339">
        <f t="shared" si="57"/>
        <v>1.7489473447119961E-2</v>
      </c>
      <c r="G165" s="338">
        <f t="shared" si="58"/>
        <v>1</v>
      </c>
      <c r="H165" s="339">
        <f t="shared" si="59"/>
        <v>0</v>
      </c>
      <c r="I165" s="337">
        <f t="shared" si="60"/>
        <v>1232.827920156034</v>
      </c>
      <c r="J165" s="340">
        <f t="shared" si="61"/>
        <v>1.5699851834931353</v>
      </c>
      <c r="K165" s="348">
        <f t="shared" si="82"/>
        <v>1.7556570886333107</v>
      </c>
      <c r="L165" s="349">
        <f t="shared" si="83"/>
        <v>0.96479265608367815</v>
      </c>
      <c r="M165" s="337">
        <f t="shared" si="64"/>
        <v>1.0003874076472774</v>
      </c>
      <c r="N165" s="340">
        <f t="shared" si="65"/>
        <v>2.7831012128175073E-2</v>
      </c>
      <c r="O165" s="341">
        <f t="shared" si="66"/>
        <v>0.99997995990603283</v>
      </c>
      <c r="P165" s="342">
        <f t="shared" si="67"/>
        <v>1.1495148709965762E-2</v>
      </c>
      <c r="Q165" s="343">
        <f t="shared" si="68"/>
        <v>17.849633902109293</v>
      </c>
      <c r="R165" s="344">
        <f t="shared" si="69"/>
        <v>-123.4288029630915</v>
      </c>
      <c r="S165" s="346">
        <f t="shared" si="70"/>
        <v>56.571197036908501</v>
      </c>
      <c r="U165" s="319">
        <f t="shared" si="76"/>
        <v>1000000000</v>
      </c>
      <c r="V165" s="319">
        <f t="shared" si="77"/>
        <v>86107264.359999999</v>
      </c>
      <c r="X165" s="345">
        <f t="shared" si="71"/>
        <v>40.774604731082803</v>
      </c>
      <c r="Y165" s="346">
        <f t="shared" si="72"/>
        <v>-36.269577189383156</v>
      </c>
      <c r="AA165" s="345">
        <f t="shared" si="73"/>
        <v>33.907779329121496</v>
      </c>
      <c r="AB165" s="346">
        <f t="shared" si="74"/>
        <v>-87.159225773708343</v>
      </c>
      <c r="AD165">
        <f t="shared" si="78"/>
        <v>0</v>
      </c>
      <c r="AE165">
        <f t="shared" si="81"/>
        <v>0</v>
      </c>
    </row>
    <row r="166" spans="1:31" x14ac:dyDescent="0.2">
      <c r="A166" s="347">
        <v>9332.5</v>
      </c>
      <c r="B166" s="364">
        <f t="shared" si="75"/>
        <v>9.3324999999999996</v>
      </c>
      <c r="C166" s="337">
        <f t="shared" si="54"/>
        <v>23.081208476765433</v>
      </c>
      <c r="D166" s="338">
        <f t="shared" si="55"/>
        <v>1.5274574733583259</v>
      </c>
      <c r="E166" s="338">
        <f t="shared" si="56"/>
        <v>1.0001547157945083</v>
      </c>
      <c r="F166" s="339">
        <f t="shared" si="57"/>
        <v>1.7589533800565691E-2</v>
      </c>
      <c r="G166" s="338">
        <f t="shared" si="58"/>
        <v>1</v>
      </c>
      <c r="H166" s="339">
        <f t="shared" si="59"/>
        <v>0</v>
      </c>
      <c r="I166" s="337">
        <f t="shared" si="60"/>
        <v>1239.8825917523782</v>
      </c>
      <c r="J166" s="340">
        <f t="shared" si="61"/>
        <v>1.569989798729202</v>
      </c>
      <c r="K166" s="348">
        <f t="shared" si="82"/>
        <v>1.7624504741395368</v>
      </c>
      <c r="L166" s="349">
        <f t="shared" si="83"/>
        <v>0.96746131759115517</v>
      </c>
      <c r="M166" s="337">
        <f t="shared" si="64"/>
        <v>1.0003918532286487</v>
      </c>
      <c r="N166" s="340">
        <f t="shared" si="65"/>
        <v>2.799018806510372E-2</v>
      </c>
      <c r="O166" s="341">
        <f t="shared" si="66"/>
        <v>0.99997972993754791</v>
      </c>
      <c r="P166" s="342">
        <f t="shared" si="67"/>
        <v>1.1560933586883548E-2</v>
      </c>
      <c r="Q166" s="343">
        <f t="shared" si="68"/>
        <v>17.78412658706992</v>
      </c>
      <c r="R166" s="344">
        <f t="shared" si="69"/>
        <v>-123.29751205096656</v>
      </c>
      <c r="S166" s="346">
        <f t="shared" si="70"/>
        <v>56.70248794903344</v>
      </c>
      <c r="U166" s="319">
        <f t="shared" si="76"/>
        <v>1000000000</v>
      </c>
      <c r="V166" s="319">
        <f t="shared" si="77"/>
        <v>87095556.25</v>
      </c>
      <c r="X166" s="345">
        <f t="shared" si="71"/>
        <v>40.75854866275354</v>
      </c>
      <c r="Y166" s="346">
        <f t="shared" si="72"/>
        <v>-36.126058690825836</v>
      </c>
      <c r="AA166" s="345">
        <f t="shared" si="73"/>
        <v>33.85832808241139</v>
      </c>
      <c r="AB166" s="346">
        <f t="shared" si="74"/>
        <v>-87.171453360140717</v>
      </c>
      <c r="AD166">
        <f t="shared" si="78"/>
        <v>0</v>
      </c>
      <c r="AE166">
        <f t="shared" si="81"/>
        <v>0</v>
      </c>
    </row>
    <row r="167" spans="1:31" x14ac:dyDescent="0.2">
      <c r="A167" s="347">
        <v>9386.85</v>
      </c>
      <c r="B167" s="364">
        <f t="shared" si="75"/>
        <v>9.3868500000000008</v>
      </c>
      <c r="C167" s="337">
        <f t="shared" si="54"/>
        <v>23.215375715507157</v>
      </c>
      <c r="D167" s="338">
        <f t="shared" si="55"/>
        <v>1.5277080945852943</v>
      </c>
      <c r="E167" s="338">
        <f t="shared" si="56"/>
        <v>1.0001565229477578</v>
      </c>
      <c r="F167" s="339">
        <f t="shared" si="57"/>
        <v>1.7691949258922687E-2</v>
      </c>
      <c r="G167" s="338">
        <f t="shared" si="58"/>
        <v>1</v>
      </c>
      <c r="H167" s="339">
        <f t="shared" si="59"/>
        <v>0</v>
      </c>
      <c r="I167" s="337">
        <f t="shared" si="60"/>
        <v>1247.1033337994018</v>
      </c>
      <c r="J167" s="340">
        <f t="shared" si="61"/>
        <v>1.5699944685365947</v>
      </c>
      <c r="K167" s="348">
        <f t="shared" si="82"/>
        <v>1.7694166766541144</v>
      </c>
      <c r="L167" s="349">
        <f t="shared" si="83"/>
        <v>0.97017155985328418</v>
      </c>
      <c r="M167" s="337">
        <f t="shared" si="64"/>
        <v>1.000396429709894</v>
      </c>
      <c r="N167" s="340">
        <f t="shared" si="65"/>
        <v>2.8153109612240511E-2</v>
      </c>
      <c r="O167" s="341">
        <f t="shared" si="66"/>
        <v>0.9999794931975523</v>
      </c>
      <c r="P167" s="342">
        <f t="shared" si="67"/>
        <v>1.1628267170957758E-2</v>
      </c>
      <c r="Q167" s="343">
        <f t="shared" si="68"/>
        <v>17.717587473491886</v>
      </c>
      <c r="R167" s="344">
        <f t="shared" si="69"/>
        <v>-123.1641783802615</v>
      </c>
      <c r="S167" s="346">
        <f t="shared" si="70"/>
        <v>56.835821619738496</v>
      </c>
      <c r="U167" s="319">
        <f t="shared" si="76"/>
        <v>1000000000</v>
      </c>
      <c r="V167" s="319">
        <f t="shared" si="77"/>
        <v>88112952.922499999</v>
      </c>
      <c r="X167" s="345">
        <f t="shared" si="71"/>
        <v>40.742335257419029</v>
      </c>
      <c r="Y167" s="346">
        <f t="shared" si="72"/>
        <v>-35.980375524878816</v>
      </c>
      <c r="AA167" s="345">
        <f t="shared" si="73"/>
        <v>33.80800237416787</v>
      </c>
      <c r="AB167" s="346">
        <f t="shared" si="74"/>
        <v>-87.18380285538268</v>
      </c>
      <c r="AD167">
        <f t="shared" si="78"/>
        <v>0</v>
      </c>
      <c r="AE167">
        <f t="shared" si="81"/>
        <v>0</v>
      </c>
    </row>
    <row r="168" spans="1:31" x14ac:dyDescent="0.2">
      <c r="A168" s="347">
        <v>9441.2000000000007</v>
      </c>
      <c r="B168" s="364">
        <f t="shared" si="75"/>
        <v>9.4412000000000003</v>
      </c>
      <c r="C168" s="337">
        <f t="shared" si="54"/>
        <v>23.349544395672272</v>
      </c>
      <c r="D168" s="338">
        <f t="shared" si="55"/>
        <v>1.527955835641349</v>
      </c>
      <c r="E168" s="338">
        <f t="shared" si="56"/>
        <v>1.0001583405915373</v>
      </c>
      <c r="F168" s="339">
        <f t="shared" si="57"/>
        <v>1.7794364346103205E-2</v>
      </c>
      <c r="G168" s="338">
        <f t="shared" si="58"/>
        <v>1</v>
      </c>
      <c r="H168" s="339">
        <f t="shared" si="59"/>
        <v>0</v>
      </c>
      <c r="I168" s="337">
        <f t="shared" si="60"/>
        <v>1254.3240758733079</v>
      </c>
      <c r="J168" s="340">
        <f t="shared" si="61"/>
        <v>1.5699990845788159</v>
      </c>
      <c r="K168" s="348">
        <f t="shared" si="82"/>
        <v>1.7763957742725245</v>
      </c>
      <c r="L168" s="349">
        <f t="shared" si="83"/>
        <v>0.97286052575696913</v>
      </c>
      <c r="M168" s="337">
        <f t="shared" si="64"/>
        <v>1.0004010327448487</v>
      </c>
      <c r="N168" s="340">
        <f t="shared" si="65"/>
        <v>2.8316029664435822E-2</v>
      </c>
      <c r="O168" s="341">
        <f t="shared" si="66"/>
        <v>0.99997925508383678</v>
      </c>
      <c r="P168" s="342">
        <f t="shared" si="67"/>
        <v>1.169560085570411E-2</v>
      </c>
      <c r="Q168" s="343">
        <f t="shared" si="68"/>
        <v>17.651557418946876</v>
      </c>
      <c r="R168" s="344">
        <f t="shared" si="69"/>
        <v>-123.03189559432596</v>
      </c>
      <c r="S168" s="346">
        <f t="shared" si="70"/>
        <v>56.96810440567404</v>
      </c>
      <c r="U168" s="319">
        <f t="shared" si="76"/>
        <v>1000000000</v>
      </c>
      <c r="V168" s="319">
        <f t="shared" si="77"/>
        <v>89136257.440000013</v>
      </c>
      <c r="X168" s="345">
        <f t="shared" si="71"/>
        <v>40.726341234047709</v>
      </c>
      <c r="Y168" s="346">
        <f t="shared" si="72"/>
        <v>-35.835908238304178</v>
      </c>
      <c r="AA168" s="345">
        <f t="shared" si="73"/>
        <v>33.75796634299418</v>
      </c>
      <c r="AB168" s="346">
        <f t="shared" si="74"/>
        <v>-87.195987356021774</v>
      </c>
      <c r="AD168">
        <f t="shared" si="78"/>
        <v>0</v>
      </c>
      <c r="AE168">
        <f t="shared" si="81"/>
        <v>0</v>
      </c>
    </row>
    <row r="169" spans="1:31" x14ac:dyDescent="0.2">
      <c r="A169" s="347">
        <v>9495.5499999999993</v>
      </c>
      <c r="B169" s="364">
        <f t="shared" si="75"/>
        <v>9.4955499999999997</v>
      </c>
      <c r="C169" s="337">
        <f t="shared" si="54"/>
        <v>23.483714492555073</v>
      </c>
      <c r="D169" s="338">
        <f t="shared" si="55"/>
        <v>1.5282007458618743</v>
      </c>
      <c r="E169" s="338">
        <f t="shared" si="56"/>
        <v>1.0001601687257895</v>
      </c>
      <c r="F169" s="339">
        <f t="shared" si="57"/>
        <v>1.7896779059960836E-2</v>
      </c>
      <c r="G169" s="338">
        <f t="shared" si="58"/>
        <v>1</v>
      </c>
      <c r="H169" s="339">
        <f t="shared" si="59"/>
        <v>0</v>
      </c>
      <c r="I169" s="337">
        <f t="shared" si="60"/>
        <v>1261.5448179736352</v>
      </c>
      <c r="J169" s="340">
        <f t="shared" si="61"/>
        <v>1.5700036477790773</v>
      </c>
      <c r="K169" s="348">
        <f t="shared" si="82"/>
        <v>1.7833876156039243</v>
      </c>
      <c r="L169" s="349">
        <f t="shared" si="83"/>
        <v>0.97552842643196602</v>
      </c>
      <c r="M169" s="337">
        <f t="shared" si="64"/>
        <v>1.000405662333147</v>
      </c>
      <c r="N169" s="340">
        <f t="shared" si="65"/>
        <v>2.8478948213061597E-2</v>
      </c>
      <c r="O169" s="341">
        <f t="shared" si="66"/>
        <v>0.999979015596418</v>
      </c>
      <c r="P169" s="342">
        <f t="shared" si="67"/>
        <v>1.1762934641705452E-2</v>
      </c>
      <c r="Q169" s="343">
        <f t="shared" si="68"/>
        <v>17.586029350604775</v>
      </c>
      <c r="R169" s="344">
        <f t="shared" si="69"/>
        <v>-122.90065447558344</v>
      </c>
      <c r="S169" s="346">
        <f t="shared" si="70"/>
        <v>57.099345524416563</v>
      </c>
      <c r="U169" s="319">
        <f t="shared" si="76"/>
        <v>1000000000</v>
      </c>
      <c r="V169" s="319">
        <f t="shared" si="77"/>
        <v>90165469.80249998</v>
      </c>
      <c r="X169" s="345">
        <f t="shared" si="71"/>
        <v>40.710562825924832</v>
      </c>
      <c r="Y169" s="346">
        <f t="shared" si="72"/>
        <v>-35.692644786659756</v>
      </c>
      <c r="AA169" s="345">
        <f t="shared" si="73"/>
        <v>33.708216682774946</v>
      </c>
      <c r="AB169" s="346">
        <f t="shared" si="74"/>
        <v>-87.208009688923653</v>
      </c>
      <c r="AD169">
        <f t="shared" si="78"/>
        <v>0</v>
      </c>
      <c r="AE169">
        <f t="shared" si="81"/>
        <v>0</v>
      </c>
    </row>
    <row r="170" spans="1:31" x14ac:dyDescent="0.2">
      <c r="A170" s="347">
        <v>9549.9</v>
      </c>
      <c r="B170" s="364">
        <f t="shared" si="75"/>
        <v>9.5498999999999992</v>
      </c>
      <c r="C170" s="337">
        <f t="shared" si="54"/>
        <v>23.617885982011</v>
      </c>
      <c r="D170" s="338">
        <f t="shared" si="55"/>
        <v>1.5284428734625484</v>
      </c>
      <c r="E170" s="338">
        <f t="shared" si="56"/>
        <v>1.0001620073504569</v>
      </c>
      <c r="F170" s="339">
        <f t="shared" si="57"/>
        <v>1.7999193398349232E-2</v>
      </c>
      <c r="G170" s="338">
        <f t="shared" si="58"/>
        <v>1</v>
      </c>
      <c r="H170" s="339">
        <f t="shared" si="59"/>
        <v>0</v>
      </c>
      <c r="I170" s="337">
        <f t="shared" si="60"/>
        <v>1268.7655600999324</v>
      </c>
      <c r="J170" s="340">
        <f t="shared" si="61"/>
        <v>1.5700081590395738</v>
      </c>
      <c r="K170" s="348">
        <f t="shared" si="82"/>
        <v>1.7903920513480278</v>
      </c>
      <c r="L170" s="349">
        <f t="shared" si="83"/>
        <v>0.97817547091259704</v>
      </c>
      <c r="M170" s="337">
        <f t="shared" si="64"/>
        <v>1.0004103184744197</v>
      </c>
      <c r="N170" s="340">
        <f t="shared" si="65"/>
        <v>2.8641865249490264E-2</v>
      </c>
      <c r="O170" s="341">
        <f t="shared" si="66"/>
        <v>0.99997877473531338</v>
      </c>
      <c r="P170" s="342">
        <f t="shared" si="67"/>
        <v>1.1830268529544634E-2</v>
      </c>
      <c r="Q170" s="343">
        <f t="shared" si="68"/>
        <v>17.52099632861658</v>
      </c>
      <c r="R170" s="344">
        <f t="shared" si="69"/>
        <v>-122.77044586115832</v>
      </c>
      <c r="S170" s="346">
        <f t="shared" si="70"/>
        <v>57.229554138841678</v>
      </c>
      <c r="U170" s="319">
        <f t="shared" si="76"/>
        <v>1000000000</v>
      </c>
      <c r="V170" s="319">
        <f t="shared" si="77"/>
        <v>91200590.00999999</v>
      </c>
      <c r="X170" s="345">
        <f t="shared" si="71"/>
        <v>40.694996343121559</v>
      </c>
      <c r="Y170" s="346">
        <f t="shared" si="72"/>
        <v>-35.550573244358731</v>
      </c>
      <c r="AA170" s="345">
        <f t="shared" si="73"/>
        <v>33.658750143590026</v>
      </c>
      <c r="AB170" s="346">
        <f t="shared" si="74"/>
        <v>-87.219872616799591</v>
      </c>
      <c r="AD170">
        <f t="shared" si="78"/>
        <v>0</v>
      </c>
      <c r="AE170">
        <f t="shared" si="81"/>
        <v>0</v>
      </c>
    </row>
    <row r="171" spans="1:31" x14ac:dyDescent="0.2">
      <c r="A171" s="347">
        <v>9605.5249999999996</v>
      </c>
      <c r="B171" s="364">
        <f t="shared" si="75"/>
        <v>9.6055250000000001</v>
      </c>
      <c r="C171" s="337">
        <f t="shared" si="54"/>
        <v>23.755206426043085</v>
      </c>
      <c r="D171" s="338">
        <f t="shared" si="55"/>
        <v>1.5286878490214693</v>
      </c>
      <c r="E171" s="338">
        <f t="shared" si="56"/>
        <v>1.0001638999699181</v>
      </c>
      <c r="F171" s="339">
        <f t="shared" si="57"/>
        <v>1.8104009889989857E-2</v>
      </c>
      <c r="G171" s="338">
        <f t="shared" si="58"/>
        <v>1</v>
      </c>
      <c r="H171" s="339">
        <f t="shared" si="59"/>
        <v>0</v>
      </c>
      <c r="I171" s="337">
        <f t="shared" si="60"/>
        <v>1276.1556940872697</v>
      </c>
      <c r="J171" s="340">
        <f t="shared" si="61"/>
        <v>1.5700127232683267</v>
      </c>
      <c r="K171" s="348">
        <f t="shared" si="82"/>
        <v>1.7975736919985896</v>
      </c>
      <c r="L171" s="349">
        <f t="shared" si="83"/>
        <v>0.98086323268962061</v>
      </c>
      <c r="M171" s="337">
        <f t="shared" si="64"/>
        <v>1.0004151113386535</v>
      </c>
      <c r="N171" s="340">
        <f t="shared" si="65"/>
        <v>2.8808602591890105E-2</v>
      </c>
      <c r="O171" s="341">
        <f t="shared" si="66"/>
        <v>0.9999785268014495</v>
      </c>
      <c r="P171" s="342">
        <f t="shared" si="67"/>
        <v>1.1899182113266554E-2</v>
      </c>
      <c r="Q171" s="343">
        <f t="shared" si="68"/>
        <v>17.454943189720602</v>
      </c>
      <c r="R171" s="344">
        <f t="shared" si="69"/>
        <v>-122.63824229241224</v>
      </c>
      <c r="S171" s="346">
        <f t="shared" si="70"/>
        <v>57.361757707587756</v>
      </c>
      <c r="U171" s="319">
        <f t="shared" si="76"/>
        <v>1000000000</v>
      </c>
      <c r="V171" s="319">
        <f t="shared" si="77"/>
        <v>92266110.52562499</v>
      </c>
      <c r="X171" s="345">
        <f t="shared" si="71"/>
        <v>40.679280354267611</v>
      </c>
      <c r="Y171" s="346">
        <f t="shared" si="72"/>
        <v>-35.406390695084966</v>
      </c>
      <c r="AA171" s="345">
        <f t="shared" si="73"/>
        <v>33.608412993547987</v>
      </c>
      <c r="AB171" s="346">
        <f t="shared" si="74"/>
        <v>-87.231851597327307</v>
      </c>
      <c r="AD171">
        <f t="shared" si="78"/>
        <v>0</v>
      </c>
      <c r="AE171">
        <f t="shared" si="81"/>
        <v>0</v>
      </c>
    </row>
    <row r="172" spans="1:31" x14ac:dyDescent="0.2">
      <c r="A172" s="347">
        <v>9661.15</v>
      </c>
      <c r="B172" s="364">
        <f t="shared" si="75"/>
        <v>9.6611499999999992</v>
      </c>
      <c r="C172" s="337">
        <f t="shared" si="54"/>
        <v>23.892528279309602</v>
      </c>
      <c r="D172" s="338">
        <f t="shared" si="55"/>
        <v>1.5289300086100239</v>
      </c>
      <c r="E172" s="338">
        <f t="shared" si="56"/>
        <v>1.0001658035776351</v>
      </c>
      <c r="F172" s="339">
        <f t="shared" si="57"/>
        <v>1.8208825983789232E-2</v>
      </c>
      <c r="G172" s="338">
        <f t="shared" si="58"/>
        <v>1</v>
      </c>
      <c r="H172" s="339">
        <f t="shared" si="59"/>
        <v>0</v>
      </c>
      <c r="I172" s="337">
        <f t="shared" si="60"/>
        <v>1283.5458281008864</v>
      </c>
      <c r="J172" s="340">
        <f t="shared" si="61"/>
        <v>1.5700172349391399</v>
      </c>
      <c r="K172" s="348">
        <f t="shared" si="82"/>
        <v>1.8047682150333235</v>
      </c>
      <c r="L172" s="349">
        <f t="shared" si="83"/>
        <v>0.98352958462860052</v>
      </c>
      <c r="M172" s="337">
        <f t="shared" si="64"/>
        <v>1.0004199320155023</v>
      </c>
      <c r="N172" s="340">
        <f t="shared" si="65"/>
        <v>2.8975338332026479E-2</v>
      </c>
      <c r="O172" s="341">
        <f t="shared" si="66"/>
        <v>0.9999782774287298</v>
      </c>
      <c r="P172" s="342">
        <f t="shared" si="67"/>
        <v>1.1968095804895749E-2</v>
      </c>
      <c r="Q172" s="343">
        <f t="shared" si="68"/>
        <v>17.389394300727094</v>
      </c>
      <c r="R172" s="344">
        <f t="shared" si="69"/>
        <v>-122.50710099963638</v>
      </c>
      <c r="S172" s="346">
        <f t="shared" si="70"/>
        <v>57.492899000363622</v>
      </c>
      <c r="U172" s="319">
        <f t="shared" si="76"/>
        <v>1000000000</v>
      </c>
      <c r="V172" s="319">
        <f t="shared" si="77"/>
        <v>93337819.32249999</v>
      </c>
      <c r="X172" s="345">
        <f t="shared" si="71"/>
        <v>40.663778768320917</v>
      </c>
      <c r="Y172" s="346">
        <f t="shared" si="72"/>
        <v>-35.263431736021495</v>
      </c>
      <c r="AA172" s="345">
        <f t="shared" si="73"/>
        <v>33.558365690501184</v>
      </c>
      <c r="AB172" s="346">
        <f t="shared" si="74"/>
        <v>-87.24366926361489</v>
      </c>
      <c r="AD172">
        <f t="shared" si="78"/>
        <v>0</v>
      </c>
      <c r="AE172">
        <f t="shared" si="81"/>
        <v>0</v>
      </c>
    </row>
    <row r="173" spans="1:31" x14ac:dyDescent="0.2">
      <c r="A173" s="347">
        <v>9716.7749999999996</v>
      </c>
      <c r="B173" s="364">
        <f t="shared" si="75"/>
        <v>9.7167750000000002</v>
      </c>
      <c r="C173" s="337">
        <f t="shared" si="54"/>
        <v>24.029851517650769</v>
      </c>
      <c r="D173" s="338">
        <f t="shared" si="55"/>
        <v>1.5291694004767886</v>
      </c>
      <c r="E173" s="338">
        <f t="shared" si="56"/>
        <v>1.0001677181735453</v>
      </c>
      <c r="F173" s="339">
        <f t="shared" si="57"/>
        <v>1.8313641677446528E-2</v>
      </c>
      <c r="G173" s="338">
        <f t="shared" si="58"/>
        <v>1</v>
      </c>
      <c r="H173" s="339">
        <f t="shared" si="59"/>
        <v>0</v>
      </c>
      <c r="I173" s="337">
        <f t="shared" si="60"/>
        <v>1290.9359621403305</v>
      </c>
      <c r="J173" s="340">
        <f t="shared" si="61"/>
        <v>1.5700216949546377</v>
      </c>
      <c r="K173" s="348">
        <f t="shared" si="82"/>
        <v>1.8119754670021291</v>
      </c>
      <c r="L173" s="349">
        <f t="shared" si="83"/>
        <v>0.98617474406728223</v>
      </c>
      <c r="M173" s="337">
        <f t="shared" si="64"/>
        <v>1.0004247805045643</v>
      </c>
      <c r="N173" s="340">
        <f t="shared" si="65"/>
        <v>2.9142072460651848E-2</v>
      </c>
      <c r="O173" s="341">
        <f t="shared" si="66"/>
        <v>0.99997802661717339</v>
      </c>
      <c r="P173" s="342">
        <f t="shared" si="67"/>
        <v>1.2037009605057047E-2</v>
      </c>
      <c r="Q173" s="343">
        <f t="shared" si="68"/>
        <v>17.324342634788557</v>
      </c>
      <c r="R173" s="344">
        <f t="shared" si="69"/>
        <v>-122.37701234608924</v>
      </c>
      <c r="S173" s="346">
        <f t="shared" si="70"/>
        <v>57.622987653910755</v>
      </c>
      <c r="U173" s="319">
        <f t="shared" si="76"/>
        <v>1000000000</v>
      </c>
      <c r="V173" s="319">
        <f t="shared" si="77"/>
        <v>94415716.40062499</v>
      </c>
      <c r="X173" s="345">
        <f t="shared" si="71"/>
        <v>40.648487867781363</v>
      </c>
      <c r="Y173" s="346">
        <f t="shared" si="72"/>
        <v>-35.121683965819479</v>
      </c>
      <c r="AA173" s="345">
        <f t="shared" si="73"/>
        <v>33.508604925102205</v>
      </c>
      <c r="AB173" s="346">
        <f t="shared" si="74"/>
        <v>-87.255328380269731</v>
      </c>
      <c r="AD173">
        <f t="shared" si="78"/>
        <v>0</v>
      </c>
      <c r="AE173">
        <f t="shared" si="81"/>
        <v>0</v>
      </c>
    </row>
    <row r="174" spans="1:31" x14ac:dyDescent="0.2">
      <c r="A174" s="347">
        <v>9772.4</v>
      </c>
      <c r="B174" s="364">
        <f t="shared" si="75"/>
        <v>9.7723999999999993</v>
      </c>
      <c r="C174" s="337">
        <f t="shared" si="54"/>
        <v>24.167176117455682</v>
      </c>
      <c r="D174" s="338">
        <f t="shared" si="55"/>
        <v>1.5294060717749773</v>
      </c>
      <c r="E174" s="338">
        <f t="shared" si="56"/>
        <v>1.0001696437575858</v>
      </c>
      <c r="F174" s="339">
        <f t="shared" si="57"/>
        <v>1.8418456968660967E-2</v>
      </c>
      <c r="G174" s="338">
        <f t="shared" si="58"/>
        <v>1</v>
      </c>
      <c r="H174" s="339">
        <f t="shared" si="59"/>
        <v>0</v>
      </c>
      <c r="I174" s="337">
        <f t="shared" si="60"/>
        <v>1298.3260962051613</v>
      </c>
      <c r="J174" s="340">
        <f t="shared" si="61"/>
        <v>1.5700261041968939</v>
      </c>
      <c r="K174" s="348">
        <f t="shared" si="82"/>
        <v>1.8191952966172948</v>
      </c>
      <c r="L174" s="349">
        <f t="shared" si="83"/>
        <v>0.98879892608861653</v>
      </c>
      <c r="M174" s="337">
        <f t="shared" si="64"/>
        <v>1.0004296568054347</v>
      </c>
      <c r="N174" s="340">
        <f t="shared" si="65"/>
        <v>2.9308804968519193E-2</v>
      </c>
      <c r="O174" s="341">
        <f t="shared" si="66"/>
        <v>0.99997777436679902</v>
      </c>
      <c r="P174" s="342">
        <f t="shared" si="67"/>
        <v>1.2105923514375285E-2</v>
      </c>
      <c r="Q174" s="343">
        <f t="shared" si="68"/>
        <v>17.259781297922004</v>
      </c>
      <c r="R174" s="344">
        <f t="shared" si="69"/>
        <v>-122.24796676028248</v>
      </c>
      <c r="S174" s="346">
        <f t="shared" si="70"/>
        <v>57.75203323971752</v>
      </c>
      <c r="U174" s="319">
        <f t="shared" si="76"/>
        <v>1000000000</v>
      </c>
      <c r="V174" s="319">
        <f t="shared" si="77"/>
        <v>95499801.75999999</v>
      </c>
      <c r="X174" s="345">
        <f t="shared" si="71"/>
        <v>40.63340401173572</v>
      </c>
      <c r="Y174" s="346">
        <f t="shared" si="72"/>
        <v>-34.981135111142876</v>
      </c>
      <c r="AA174" s="345">
        <f t="shared" si="73"/>
        <v>33.459127444281293</v>
      </c>
      <c r="AB174" s="346">
        <f t="shared" si="74"/>
        <v>-87.266831649139633</v>
      </c>
      <c r="AD174">
        <f t="shared" si="78"/>
        <v>0</v>
      </c>
      <c r="AE174">
        <f t="shared" si="81"/>
        <v>0</v>
      </c>
    </row>
    <row r="175" spans="1:31" x14ac:dyDescent="0.2">
      <c r="A175" s="347">
        <v>9829.2999999999993</v>
      </c>
      <c r="B175" s="364">
        <f t="shared" si="75"/>
        <v>9.8292999999999999</v>
      </c>
      <c r="C175" s="337">
        <f t="shared" si="54"/>
        <v>24.307649766819821</v>
      </c>
      <c r="D175" s="338">
        <f t="shared" si="55"/>
        <v>1.5296454011201237</v>
      </c>
      <c r="E175" s="338">
        <f t="shared" si="56"/>
        <v>1.0001716248473531</v>
      </c>
      <c r="F175" s="339">
        <f t="shared" si="57"/>
        <v>1.8525674348890037E-2</v>
      </c>
      <c r="G175" s="338">
        <f t="shared" si="58"/>
        <v>1</v>
      </c>
      <c r="H175" s="339">
        <f t="shared" si="59"/>
        <v>0</v>
      </c>
      <c r="I175" s="337">
        <f t="shared" si="60"/>
        <v>1305.8856221328006</v>
      </c>
      <c r="J175" s="340">
        <f t="shared" si="61"/>
        <v>1.5700305628713309</v>
      </c>
      <c r="K175" s="348">
        <f t="shared" si="82"/>
        <v>1.8265934723656294</v>
      </c>
      <c r="L175" s="349">
        <f t="shared" si="83"/>
        <v>0.99146177560988136</v>
      </c>
      <c r="M175" s="337">
        <f t="shared" si="64"/>
        <v>1.0004346736526128</v>
      </c>
      <c r="N175" s="340">
        <f t="shared" si="65"/>
        <v>2.9479357523726109E-2</v>
      </c>
      <c r="O175" s="341">
        <f t="shared" si="66"/>
        <v>0.99997751484586039</v>
      </c>
      <c r="P175" s="342">
        <f t="shared" si="67"/>
        <v>1.2176417137002793E-2</v>
      </c>
      <c r="Q175" s="343">
        <f t="shared" si="68"/>
        <v>17.1942403932985</v>
      </c>
      <c r="R175" s="344">
        <f t="shared" si="69"/>
        <v>-122.11703257098407</v>
      </c>
      <c r="S175" s="346">
        <f t="shared" si="70"/>
        <v>57.882967429015935</v>
      </c>
      <c r="U175" s="319">
        <f t="shared" si="76"/>
        <v>1000000000</v>
      </c>
      <c r="V175" s="319">
        <f t="shared" si="77"/>
        <v>96615138.48999998</v>
      </c>
      <c r="X175" s="345">
        <f t="shared" si="71"/>
        <v>40.618184913425779</v>
      </c>
      <c r="Y175" s="346">
        <f t="shared" si="72"/>
        <v>-34.838592476759082</v>
      </c>
      <c r="AA175" s="345">
        <f t="shared" si="73"/>
        <v>33.408805637967724</v>
      </c>
      <c r="AB175" s="346">
        <f t="shared" si="74"/>
        <v>-87.278440094225004</v>
      </c>
      <c r="AD175">
        <f t="shared" si="78"/>
        <v>0</v>
      </c>
      <c r="AE175">
        <f t="shared" si="81"/>
        <v>0</v>
      </c>
    </row>
    <row r="176" spans="1:31" x14ac:dyDescent="0.2">
      <c r="A176" s="347">
        <v>9886.2000000000007</v>
      </c>
      <c r="B176" s="364">
        <f t="shared" si="75"/>
        <v>9.8862000000000005</v>
      </c>
      <c r="C176" s="337">
        <f t="shared" si="54"/>
        <v>24.448124792490713</v>
      </c>
      <c r="D176" s="338">
        <f t="shared" si="55"/>
        <v>1.5298819801822017</v>
      </c>
      <c r="E176" s="338">
        <f t="shared" si="56"/>
        <v>1.0001736174346145</v>
      </c>
      <c r="F176" s="339">
        <f t="shared" si="57"/>
        <v>1.8632891303145827E-2</v>
      </c>
      <c r="G176" s="338">
        <f t="shared" si="58"/>
        <v>1</v>
      </c>
      <c r="H176" s="339">
        <f t="shared" si="59"/>
        <v>0</v>
      </c>
      <c r="I176" s="337">
        <f t="shared" si="60"/>
        <v>1313.4451480861017</v>
      </c>
      <c r="J176" s="340">
        <f t="shared" si="61"/>
        <v>1.5700349702220182</v>
      </c>
      <c r="K176" s="348">
        <f t="shared" si="82"/>
        <v>1.8340044955168762</v>
      </c>
      <c r="L176" s="349">
        <f t="shared" si="83"/>
        <v>0.9941031231335351</v>
      </c>
      <c r="M176" s="337">
        <f t="shared" si="64"/>
        <v>1.0004397196003165</v>
      </c>
      <c r="N176" s="340">
        <f t="shared" si="65"/>
        <v>2.9649908363451966E-2</v>
      </c>
      <c r="O176" s="341">
        <f t="shared" si="66"/>
        <v>0.99997725381942915</v>
      </c>
      <c r="P176" s="342">
        <f t="shared" si="67"/>
        <v>1.2246910875171232E-2</v>
      </c>
      <c r="Q176" s="343">
        <f t="shared" si="68"/>
        <v>17.129198373200904</v>
      </c>
      <c r="R176" s="344">
        <f t="shared" si="69"/>
        <v>-121.98716976789116</v>
      </c>
      <c r="S176" s="346">
        <f t="shared" si="70"/>
        <v>58.01283023210884</v>
      </c>
      <c r="U176" s="319">
        <f t="shared" si="76"/>
        <v>1000000000</v>
      </c>
      <c r="V176" s="319">
        <f t="shared" si="77"/>
        <v>97736950.440000013</v>
      </c>
      <c r="X176" s="345">
        <f t="shared" si="71"/>
        <v>40.603174990670823</v>
      </c>
      <c r="Y176" s="346">
        <f t="shared" si="72"/>
        <v>-34.697278777166837</v>
      </c>
      <c r="AA176" s="345">
        <f t="shared" si="73"/>
        <v>33.358773540625094</v>
      </c>
      <c r="AB176" s="346">
        <f t="shared" si="74"/>
        <v>-87.289890990724345</v>
      </c>
      <c r="AD176">
        <f t="shared" si="78"/>
        <v>0</v>
      </c>
      <c r="AE176">
        <f t="shared" si="81"/>
        <v>0</v>
      </c>
    </row>
    <row r="177" spans="1:31" x14ac:dyDescent="0.2">
      <c r="A177" s="347">
        <v>9943.1</v>
      </c>
      <c r="B177" s="364">
        <f t="shared" si="75"/>
        <v>9.9431000000000012</v>
      </c>
      <c r="C177" s="337">
        <f t="shared" si="54"/>
        <v>24.588601170879766</v>
      </c>
      <c r="D177" s="338">
        <f t="shared" si="55"/>
        <v>1.5301158560721706</v>
      </c>
      <c r="E177" s="338">
        <f t="shared" si="56"/>
        <v>1.000175621519301</v>
      </c>
      <c r="F177" s="339">
        <f t="shared" si="57"/>
        <v>1.874010782896586E-2</v>
      </c>
      <c r="G177" s="338">
        <f t="shared" si="58"/>
        <v>1</v>
      </c>
      <c r="H177" s="339">
        <f t="shared" si="59"/>
        <v>0</v>
      </c>
      <c r="I177" s="337">
        <f t="shared" si="60"/>
        <v>1321.0046740646242</v>
      </c>
      <c r="J177" s="340">
        <f t="shared" si="61"/>
        <v>1.5700393271300648</v>
      </c>
      <c r="K177" s="348">
        <f t="shared" si="82"/>
        <v>1.8414282109538331</v>
      </c>
      <c r="L177" s="349">
        <f t="shared" si="83"/>
        <v>0.99672319163592271</v>
      </c>
      <c r="M177" s="337">
        <f t="shared" si="64"/>
        <v>1.0004447946481057</v>
      </c>
      <c r="N177" s="340">
        <f t="shared" si="65"/>
        <v>2.9820457477800953E-2</v>
      </c>
      <c r="O177" s="341">
        <f t="shared" si="66"/>
        <v>0.99997699128752571</v>
      </c>
      <c r="P177" s="342">
        <f t="shared" si="67"/>
        <v>1.2317404729549387E-2</v>
      </c>
      <c r="Q177" s="343">
        <f t="shared" si="68"/>
        <v>17.064648270352677</v>
      </c>
      <c r="R177" s="344">
        <f t="shared" si="69"/>
        <v>-121.85836832475573</v>
      </c>
      <c r="S177" s="346">
        <f t="shared" si="70"/>
        <v>58.14163167524427</v>
      </c>
      <c r="U177" s="319">
        <f t="shared" si="76"/>
        <v>1000000000</v>
      </c>
      <c r="V177" s="319">
        <f t="shared" si="77"/>
        <v>98865237.610000014</v>
      </c>
      <c r="X177" s="345">
        <f t="shared" si="71"/>
        <v>40.588370583492896</v>
      </c>
      <c r="Y177" s="346">
        <f t="shared" si="72"/>
        <v>-34.557181286679459</v>
      </c>
      <c r="AA177" s="345">
        <f t="shared" si="73"/>
        <v>33.309027844954784</v>
      </c>
      <c r="AB177" s="346">
        <f t="shared" si="74"/>
        <v>-87.301187038076264</v>
      </c>
      <c r="AD177">
        <f t="shared" si="78"/>
        <v>0</v>
      </c>
      <c r="AE177">
        <f t="shared" si="81"/>
        <v>0</v>
      </c>
    </row>
    <row r="178" spans="1:31" x14ac:dyDescent="0.2">
      <c r="A178" s="347">
        <v>10000</v>
      </c>
      <c r="B178" s="364">
        <f t="shared" si="75"/>
        <v>10</v>
      </c>
      <c r="C178" s="337">
        <f t="shared" si="54"/>
        <v>24.729078878934175</v>
      </c>
      <c r="D178" s="338">
        <f t="shared" si="55"/>
        <v>1.5303470748317021</v>
      </c>
      <c r="E178" s="338">
        <f t="shared" si="56"/>
        <v>1.0001776371013438</v>
      </c>
      <c r="F178" s="339">
        <f t="shared" si="57"/>
        <v>1.8847323923887729E-2</v>
      </c>
      <c r="G178" s="338">
        <f t="shared" si="58"/>
        <v>1</v>
      </c>
      <c r="H178" s="339">
        <f t="shared" si="59"/>
        <v>0</v>
      </c>
      <c r="I178" s="337">
        <f t="shared" si="60"/>
        <v>1328.5642000679372</v>
      </c>
      <c r="J178" s="340">
        <f t="shared" si="61"/>
        <v>1.5700436344565263</v>
      </c>
      <c r="K178" s="348">
        <f t="shared" si="82"/>
        <v>1.848864465787122</v>
      </c>
      <c r="L178" s="349">
        <f t="shared" si="83"/>
        <v>0.99932220168389563</v>
      </c>
      <c r="M178" s="337">
        <f t="shared" si="64"/>
        <v>1.0004498987955368</v>
      </c>
      <c r="N178" s="340">
        <f t="shared" si="65"/>
        <v>2.9991004856877897E-2</v>
      </c>
      <c r="O178" s="341">
        <f t="shared" si="66"/>
        <v>0.99997672725017084</v>
      </c>
      <c r="P178" s="342">
        <f t="shared" si="67"/>
        <v>1.2387898700806046E-2</v>
      </c>
      <c r="Q178" s="343">
        <f t="shared" si="68"/>
        <v>17.000583249869113</v>
      </c>
      <c r="R178" s="344">
        <f t="shared" si="69"/>
        <v>-121.73061829096879</v>
      </c>
      <c r="S178" s="346">
        <f t="shared" si="70"/>
        <v>58.269381709031208</v>
      </c>
      <c r="U178" s="319">
        <f t="shared" si="76"/>
        <v>1000000000</v>
      </c>
      <c r="V178" s="319">
        <f t="shared" si="77"/>
        <v>100000000</v>
      </c>
      <c r="X178" s="345">
        <f t="shared" si="71"/>
        <v>40.573768108065629</v>
      </c>
      <c r="Y178" s="346">
        <f t="shared" si="72"/>
        <v>-34.418287416515163</v>
      </c>
      <c r="AA178" s="345">
        <f t="shared" si="73"/>
        <v>33.25956529989849</v>
      </c>
      <c r="AB178" s="346">
        <f t="shared" si="74"/>
        <v>-87.31233087445365</v>
      </c>
      <c r="AD178">
        <f t="shared" si="78"/>
        <v>0</v>
      </c>
      <c r="AE178">
        <f t="shared" si="81"/>
        <v>0</v>
      </c>
    </row>
    <row r="179" spans="1:31" x14ac:dyDescent="0.2">
      <c r="A179" s="347">
        <v>10058.25</v>
      </c>
      <c r="B179" s="364">
        <f t="shared" si="75"/>
        <v>10.058249999999999</v>
      </c>
      <c r="C179" s="337">
        <f t="shared" si="54"/>
        <v>24.872890891721553</v>
      </c>
      <c r="D179" s="338">
        <f t="shared" si="55"/>
        <v>1.5305810739862276</v>
      </c>
      <c r="E179" s="338">
        <f t="shared" si="56"/>
        <v>1.0001797124144489</v>
      </c>
      <c r="F179" s="339">
        <f t="shared" si="57"/>
        <v>1.8957083361239985E-2</v>
      </c>
      <c r="G179" s="338">
        <f t="shared" si="58"/>
        <v>1</v>
      </c>
      <c r="H179" s="339">
        <f t="shared" si="59"/>
        <v>0</v>
      </c>
      <c r="I179" s="337">
        <f t="shared" si="60"/>
        <v>1336.3030821615962</v>
      </c>
      <c r="J179" s="340">
        <f t="shared" si="61"/>
        <v>1.5700479934963487</v>
      </c>
      <c r="K179" s="348">
        <f t="shared" si="82"/>
        <v>1.8564899838388822</v>
      </c>
      <c r="L179" s="349">
        <f t="shared" si="83"/>
        <v>1.0019612893614476</v>
      </c>
      <c r="M179" s="337">
        <f t="shared" si="64"/>
        <v>1.0004551541861146</v>
      </c>
      <c r="N179" s="340">
        <f t="shared" si="65"/>
        <v>3.0165596807048847E-2</v>
      </c>
      <c r="O179" s="341">
        <f t="shared" si="66"/>
        <v>0.9999764553888788</v>
      </c>
      <c r="P179" s="342">
        <f t="shared" si="67"/>
        <v>1.2460065322148208E-2</v>
      </c>
      <c r="Q179" s="343">
        <f t="shared" si="68"/>
        <v>16.93549371540778</v>
      </c>
      <c r="R179" s="344">
        <f t="shared" si="69"/>
        <v>-121.60091609586476</v>
      </c>
      <c r="S179" s="346">
        <f t="shared" si="70"/>
        <v>58.399083904135239</v>
      </c>
      <c r="U179" s="319">
        <f t="shared" si="76"/>
        <v>1000000000</v>
      </c>
      <c r="V179" s="319">
        <f t="shared" si="77"/>
        <v>101168393.0625</v>
      </c>
      <c r="X179" s="345">
        <f t="shared" si="71"/>
        <v>40.559024688124403</v>
      </c>
      <c r="Y179" s="346">
        <f t="shared" si="72"/>
        <v>-34.277331967131701</v>
      </c>
      <c r="AA179" s="345">
        <f t="shared" si="73"/>
        <v>33.209219185378387</v>
      </c>
      <c r="AB179" s="346">
        <f t="shared" si="74"/>
        <v>-87.323584128733046</v>
      </c>
      <c r="AD179">
        <f t="shared" si="78"/>
        <v>0</v>
      </c>
      <c r="AE179">
        <f t="shared" si="81"/>
        <v>0</v>
      </c>
    </row>
    <row r="180" spans="1:31" x14ac:dyDescent="0.2">
      <c r="A180" s="347">
        <v>10116.5</v>
      </c>
      <c r="B180" s="364">
        <f t="shared" si="75"/>
        <v>10.1165</v>
      </c>
      <c r="C180" s="337">
        <f t="shared" si="54"/>
        <v>25.016704250780574</v>
      </c>
      <c r="D180" s="338">
        <f t="shared" si="55"/>
        <v>1.5308123827745737</v>
      </c>
      <c r="E180" s="338">
        <f t="shared" si="56"/>
        <v>1.0001817997768034</v>
      </c>
      <c r="F180" s="339">
        <f t="shared" si="57"/>
        <v>1.9066842341782367E-2</v>
      </c>
      <c r="G180" s="338">
        <f t="shared" si="58"/>
        <v>1</v>
      </c>
      <c r="H180" s="339">
        <f t="shared" si="59"/>
        <v>0</v>
      </c>
      <c r="I180" s="337">
        <f t="shared" si="60"/>
        <v>1344.041964280354</v>
      </c>
      <c r="J180" s="340">
        <f t="shared" si="61"/>
        <v>1.5700523023381918</v>
      </c>
      <c r="K180" s="348">
        <f t="shared" si="82"/>
        <v>1.8641283261047406</v>
      </c>
      <c r="L180" s="349">
        <f t="shared" si="83"/>
        <v>1.0045787676049887</v>
      </c>
      <c r="M180" s="337">
        <f t="shared" si="64"/>
        <v>1.0004604400725947</v>
      </c>
      <c r="N180" s="340">
        <f t="shared" si="65"/>
        <v>3.0340186917644674E-2</v>
      </c>
      <c r="O180" s="341">
        <f t="shared" si="66"/>
        <v>0.99997618194989613</v>
      </c>
      <c r="P180" s="342">
        <f t="shared" si="67"/>
        <v>1.2532232067399174E-2</v>
      </c>
      <c r="Q180" s="343">
        <f t="shared" si="68"/>
        <v>16.870898470130477</v>
      </c>
      <c r="R180" s="344">
        <f t="shared" si="69"/>
        <v>-121.47229493524148</v>
      </c>
      <c r="S180" s="346">
        <f t="shared" si="70"/>
        <v>58.527705064758521</v>
      </c>
      <c r="U180" s="319">
        <f t="shared" si="76"/>
        <v>1000000000</v>
      </c>
      <c r="V180" s="319">
        <f t="shared" si="77"/>
        <v>102343572.25</v>
      </c>
      <c r="X180" s="345">
        <f t="shared" si="71"/>
        <v>40.544485531395082</v>
      </c>
      <c r="Y180" s="346">
        <f t="shared" si="72"/>
        <v>-34.13761166558389</v>
      </c>
      <c r="AA180" s="345">
        <f t="shared" si="73"/>
        <v>33.159163096830397</v>
      </c>
      <c r="AB180" s="346">
        <f t="shared" si="74"/>
        <v>-87.334683269657589</v>
      </c>
      <c r="AD180">
        <f t="shared" si="78"/>
        <v>0</v>
      </c>
      <c r="AE180">
        <f t="shared" si="81"/>
        <v>0</v>
      </c>
    </row>
    <row r="181" spans="1:31" x14ac:dyDescent="0.2">
      <c r="A181" s="347">
        <v>10174.75</v>
      </c>
      <c r="B181" s="364">
        <f t="shared" si="75"/>
        <v>10.17475</v>
      </c>
      <c r="C181" s="337">
        <f t="shared" si="54"/>
        <v>25.160518933026033</v>
      </c>
      <c r="D181" s="338">
        <f t="shared" si="55"/>
        <v>1.5310410473052607</v>
      </c>
      <c r="E181" s="338">
        <f t="shared" si="56"/>
        <v>1.0001838991883312</v>
      </c>
      <c r="F181" s="339">
        <f t="shared" si="57"/>
        <v>1.9176600862873209E-2</v>
      </c>
      <c r="G181" s="338">
        <f t="shared" si="58"/>
        <v>1</v>
      </c>
      <c r="H181" s="339">
        <f t="shared" si="59"/>
        <v>0</v>
      </c>
      <c r="I181" s="337">
        <f t="shared" si="60"/>
        <v>1351.7808464237801</v>
      </c>
      <c r="J181" s="340">
        <f t="shared" si="61"/>
        <v>1.5700565618441991</v>
      </c>
      <c r="K181" s="348">
        <f t="shared" si="82"/>
        <v>1.8717793355858494</v>
      </c>
      <c r="L181" s="349">
        <f t="shared" si="83"/>
        <v>1.0071748653176775</v>
      </c>
      <c r="M181" s="337">
        <f t="shared" si="64"/>
        <v>1.0004657564544939</v>
      </c>
      <c r="N181" s="340">
        <f t="shared" si="65"/>
        <v>3.0514775178051009E-2</v>
      </c>
      <c r="O181" s="341">
        <f t="shared" si="66"/>
        <v>0.99997590693324534</v>
      </c>
      <c r="P181" s="342">
        <f t="shared" si="67"/>
        <v>1.2604398937276466E-2</v>
      </c>
      <c r="Q181" s="343">
        <f t="shared" si="68"/>
        <v>16.806790592288628</v>
      </c>
      <c r="R181" s="344">
        <f t="shared" si="69"/>
        <v>-121.34474438471916</v>
      </c>
      <c r="S181" s="346">
        <f t="shared" si="70"/>
        <v>58.655255615280836</v>
      </c>
      <c r="U181" s="319">
        <f t="shared" si="76"/>
        <v>1000000000</v>
      </c>
      <c r="V181" s="319">
        <f t="shared" si="77"/>
        <v>103525537.5625</v>
      </c>
      <c r="X181" s="345">
        <f t="shared" si="71"/>
        <v>40.530147029128543</v>
      </c>
      <c r="Y181" s="346">
        <f t="shared" si="72"/>
        <v>-33.999113445475828</v>
      </c>
      <c r="AA181" s="345">
        <f t="shared" si="73"/>
        <v>33.109393721255095</v>
      </c>
      <c r="AB181" s="346">
        <f t="shared" si="74"/>
        <v>-87.345630939243335</v>
      </c>
      <c r="AD181">
        <f t="shared" si="78"/>
        <v>0</v>
      </c>
      <c r="AE181">
        <f t="shared" si="81"/>
        <v>0</v>
      </c>
    </row>
    <row r="182" spans="1:31" x14ac:dyDescent="0.2">
      <c r="A182" s="347">
        <v>10233</v>
      </c>
      <c r="B182" s="364">
        <f t="shared" si="75"/>
        <v>10.233000000000001</v>
      </c>
      <c r="C182" s="337">
        <f t="shared" si="54"/>
        <v>25.304334915897336</v>
      </c>
      <c r="D182" s="338">
        <f t="shared" si="55"/>
        <v>1.5312671126397075</v>
      </c>
      <c r="E182" s="338">
        <f t="shared" si="56"/>
        <v>1.0001860106489571</v>
      </c>
      <c r="F182" s="339">
        <f t="shared" si="57"/>
        <v>1.9286358921870903E-2</v>
      </c>
      <c r="G182" s="338">
        <f t="shared" si="58"/>
        <v>1</v>
      </c>
      <c r="H182" s="339">
        <f t="shared" si="59"/>
        <v>0</v>
      </c>
      <c r="I182" s="337">
        <f t="shared" si="60"/>
        <v>1359.5197285914528</v>
      </c>
      <c r="J182" s="340">
        <f t="shared" si="61"/>
        <v>1.5700607728568825</v>
      </c>
      <c r="K182" s="348">
        <f t="shared" si="82"/>
        <v>1.8794428575816085</v>
      </c>
      <c r="L182" s="349">
        <f t="shared" si="83"/>
        <v>1.0097498088312866</v>
      </c>
      <c r="M182" s="337">
        <f t="shared" si="64"/>
        <v>1.0004711033313256</v>
      </c>
      <c r="N182" s="340">
        <f t="shared" si="65"/>
        <v>3.0689361577654169E-2</v>
      </c>
      <c r="O182" s="341">
        <f t="shared" si="66"/>
        <v>0.99997563033894932</v>
      </c>
      <c r="P182" s="342">
        <f t="shared" si="67"/>
        <v>1.2676565932497609E-2</v>
      </c>
      <c r="Q182" s="343">
        <f t="shared" si="68"/>
        <v>16.743163292390715</v>
      </c>
      <c r="R182" s="344">
        <f t="shared" si="69"/>
        <v>-121.21825410612836</v>
      </c>
      <c r="S182" s="346">
        <f t="shared" si="70"/>
        <v>58.781745893871644</v>
      </c>
      <c r="U182" s="319">
        <f t="shared" si="76"/>
        <v>1000000000</v>
      </c>
      <c r="V182" s="319">
        <f t="shared" si="77"/>
        <v>104714289</v>
      </c>
      <c r="X182" s="345">
        <f t="shared" si="71"/>
        <v>40.516005648454929</v>
      </c>
      <c r="Y182" s="346">
        <f t="shared" si="72"/>
        <v>-33.861824386616455</v>
      </c>
      <c r="AA182" s="345">
        <f t="shared" si="73"/>
        <v>33.059907802030793</v>
      </c>
      <c r="AB182" s="346">
        <f t="shared" si="74"/>
        <v>-87.356429719511894</v>
      </c>
      <c r="AD182">
        <f t="shared" si="78"/>
        <v>0</v>
      </c>
      <c r="AE182">
        <f t="shared" si="81"/>
        <v>0</v>
      </c>
    </row>
    <row r="183" spans="1:31" x14ac:dyDescent="0.2">
      <c r="A183" s="347">
        <v>10292.5</v>
      </c>
      <c r="B183" s="364">
        <f t="shared" si="75"/>
        <v>10.2925</v>
      </c>
      <c r="C183" s="337">
        <f t="shared" si="54"/>
        <v>25.451238398523788</v>
      </c>
      <c r="D183" s="338">
        <f t="shared" si="55"/>
        <v>1.5314953914932052</v>
      </c>
      <c r="E183" s="338">
        <f t="shared" si="56"/>
        <v>1.0001881798595356</v>
      </c>
      <c r="F183" s="339">
        <f t="shared" si="57"/>
        <v>1.9398471824202582E-2</v>
      </c>
      <c r="G183" s="338">
        <f t="shared" si="58"/>
        <v>1</v>
      </c>
      <c r="H183" s="339">
        <f t="shared" si="59"/>
        <v>0</v>
      </c>
      <c r="I183" s="337">
        <f t="shared" si="60"/>
        <v>1367.4246812165127</v>
      </c>
      <c r="J183" s="340">
        <f t="shared" si="61"/>
        <v>1.5700650250253219</v>
      </c>
      <c r="K183" s="348">
        <f t="shared" si="82"/>
        <v>1.8872835925042304</v>
      </c>
      <c r="L183" s="349">
        <f t="shared" si="83"/>
        <v>1.0123584013181699</v>
      </c>
      <c r="M183" s="337">
        <f t="shared" si="64"/>
        <v>1.000476596431046</v>
      </c>
      <c r="N183" s="340">
        <f t="shared" si="65"/>
        <v>3.0867692534355017E-2</v>
      </c>
      <c r="O183" s="341">
        <f t="shared" si="66"/>
        <v>0.99997534618038608</v>
      </c>
      <c r="P183" s="342">
        <f t="shared" si="67"/>
        <v>1.2750281705838343E-2</v>
      </c>
      <c r="Q183" s="343">
        <f t="shared" si="68"/>
        <v>16.67865983289682</v>
      </c>
      <c r="R183" s="344">
        <f t="shared" si="69"/>
        <v>-121.09013342991574</v>
      </c>
      <c r="S183" s="346">
        <f t="shared" si="70"/>
        <v>58.909866570084262</v>
      </c>
      <c r="U183" s="319">
        <f t="shared" si="76"/>
        <v>1000000000</v>
      </c>
      <c r="V183" s="319">
        <f t="shared" si="77"/>
        <v>105935556.25</v>
      </c>
      <c r="X183" s="345">
        <f t="shared" si="71"/>
        <v>40.501760720679613</v>
      </c>
      <c r="Y183" s="346">
        <f t="shared" si="72"/>
        <v>-33.722824288970507</v>
      </c>
      <c r="AA183" s="345">
        <f t="shared" si="73"/>
        <v>33.009649270312217</v>
      </c>
      <c r="AB183" s="346">
        <f t="shared" si="74"/>
        <v>-87.367309140945224</v>
      </c>
      <c r="AD183">
        <f t="shared" si="78"/>
        <v>0</v>
      </c>
      <c r="AE183">
        <f t="shared" si="81"/>
        <v>0</v>
      </c>
    </row>
    <row r="184" spans="1:31" x14ac:dyDescent="0.2">
      <c r="A184" s="347">
        <v>10352</v>
      </c>
      <c r="B184" s="364">
        <f t="shared" si="75"/>
        <v>10.352</v>
      </c>
      <c r="C184" s="337">
        <f t="shared" si="54"/>
        <v>25.598143192222885</v>
      </c>
      <c r="D184" s="338">
        <f t="shared" si="55"/>
        <v>1.5317210502262861</v>
      </c>
      <c r="E184" s="338">
        <f t="shared" si="56"/>
        <v>1.0001903616417278</v>
      </c>
      <c r="F184" s="339">
        <f t="shared" si="57"/>
        <v>1.9510584238824669E-2</v>
      </c>
      <c r="G184" s="338">
        <f t="shared" si="58"/>
        <v>1</v>
      </c>
      <c r="H184" s="339">
        <f t="shared" si="59"/>
        <v>0</v>
      </c>
      <c r="I184" s="337">
        <f t="shared" si="60"/>
        <v>1375.3296338660125</v>
      </c>
      <c r="J184" s="340">
        <f t="shared" si="61"/>
        <v>1.5700692283135667</v>
      </c>
      <c r="K184" s="348">
        <f t="shared" si="82"/>
        <v>1.8951370636117788</v>
      </c>
      <c r="L184" s="349">
        <f t="shared" si="83"/>
        <v>1.0149453912094228</v>
      </c>
      <c r="M184" s="337">
        <f t="shared" si="64"/>
        <v>1.0004821213475033</v>
      </c>
      <c r="N184" s="340">
        <f t="shared" si="65"/>
        <v>3.1046021527149328E-2</v>
      </c>
      <c r="O184" s="341">
        <f t="shared" si="66"/>
        <v>0.99997506037578943</v>
      </c>
      <c r="P184" s="342">
        <f t="shared" si="67"/>
        <v>1.2823997611473573E-2</v>
      </c>
      <c r="Q184" s="343">
        <f t="shared" si="68"/>
        <v>16.614643886998056</v>
      </c>
      <c r="R184" s="344">
        <f t="shared" si="69"/>
        <v>-120.96309749179004</v>
      </c>
      <c r="S184" s="346">
        <f t="shared" si="70"/>
        <v>59.036902508209963</v>
      </c>
      <c r="U184" s="319">
        <f t="shared" si="76"/>
        <v>1000000000</v>
      </c>
      <c r="V184" s="319">
        <f t="shared" si="77"/>
        <v>107163904</v>
      </c>
      <c r="X184" s="345">
        <f t="shared" si="71"/>
        <v>40.487714248353285</v>
      </c>
      <c r="Y184" s="346">
        <f t="shared" si="72"/>
        <v>-33.585059015729726</v>
      </c>
      <c r="AA184" s="345">
        <f t="shared" si="73"/>
        <v>32.959679796739778</v>
      </c>
      <c r="AB184" s="346">
        <f t="shared" si="74"/>
        <v>-87.378038476060325</v>
      </c>
      <c r="AD184">
        <f t="shared" si="78"/>
        <v>0</v>
      </c>
      <c r="AE184">
        <f t="shared" si="81"/>
        <v>0</v>
      </c>
    </row>
    <row r="185" spans="1:31" x14ac:dyDescent="0.2">
      <c r="A185" s="347">
        <v>10411.5</v>
      </c>
      <c r="B185" s="364">
        <f t="shared" si="75"/>
        <v>10.4115</v>
      </c>
      <c r="C185" s="337">
        <f t="shared" si="54"/>
        <v>25.74504927455115</v>
      </c>
      <c r="D185" s="338">
        <f t="shared" si="55"/>
        <v>1.5319441336684654</v>
      </c>
      <c r="E185" s="338">
        <f t="shared" si="56"/>
        <v>1.0001925559954512</v>
      </c>
      <c r="F185" s="339">
        <f t="shared" si="57"/>
        <v>1.9622696162922049E-2</v>
      </c>
      <c r="G185" s="338">
        <f t="shared" si="58"/>
        <v>1</v>
      </c>
      <c r="H185" s="339">
        <f t="shared" si="59"/>
        <v>0</v>
      </c>
      <c r="I185" s="337">
        <f t="shared" si="60"/>
        <v>1383.2345865395337</v>
      </c>
      <c r="J185" s="340">
        <f t="shared" si="61"/>
        <v>1.5700733835596428</v>
      </c>
      <c r="K185" s="348">
        <f t="shared" si="82"/>
        <v>1.9030031132220264</v>
      </c>
      <c r="L185" s="349">
        <f t="shared" si="83"/>
        <v>1.0175110115450987</v>
      </c>
      <c r="M185" s="337">
        <f t="shared" si="64"/>
        <v>1.0004876780801701</v>
      </c>
      <c r="N185" s="340">
        <f t="shared" si="65"/>
        <v>3.1224348544727554E-2</v>
      </c>
      <c r="O185" s="341">
        <f t="shared" si="66"/>
        <v>0.999974772925184</v>
      </c>
      <c r="P185" s="342">
        <f t="shared" si="67"/>
        <v>1.2897713650168015E-2</v>
      </c>
      <c r="Q185" s="343">
        <f t="shared" si="68"/>
        <v>16.551108626214496</v>
      </c>
      <c r="R185" s="344">
        <f t="shared" si="69"/>
        <v>-120.83713555565423</v>
      </c>
      <c r="S185" s="346">
        <f t="shared" si="70"/>
        <v>59.162864444345772</v>
      </c>
      <c r="U185" s="319">
        <f t="shared" si="76"/>
        <v>1000000000</v>
      </c>
      <c r="V185" s="319">
        <f t="shared" si="77"/>
        <v>108399332.25</v>
      </c>
      <c r="X185" s="345">
        <f t="shared" si="71"/>
        <v>40.473862699736934</v>
      </c>
      <c r="Y185" s="346">
        <f t="shared" si="72"/>
        <v>-33.448515262049924</v>
      </c>
      <c r="AA185" s="345">
        <f t="shared" si="73"/>
        <v>32.909996084572569</v>
      </c>
      <c r="AB185" s="346">
        <f t="shared" si="74"/>
        <v>-87.388620293604276</v>
      </c>
      <c r="AD185">
        <f t="shared" si="78"/>
        <v>0</v>
      </c>
      <c r="AE185">
        <f t="shared" si="81"/>
        <v>0</v>
      </c>
    </row>
    <row r="186" spans="1:31" x14ac:dyDescent="0.2">
      <c r="A186" s="347">
        <v>10471</v>
      </c>
      <c r="B186" s="364">
        <f t="shared" si="75"/>
        <v>10.471</v>
      </c>
      <c r="C186" s="337">
        <f t="shared" si="54"/>
        <v>25.891956623574259</v>
      </c>
      <c r="D186" s="338">
        <f t="shared" si="55"/>
        <v>1.5321646856328719</v>
      </c>
      <c r="E186" s="338">
        <f t="shared" si="56"/>
        <v>1.0001947629206231</v>
      </c>
      <c r="F186" s="339">
        <f t="shared" si="57"/>
        <v>1.9734807593679665E-2</v>
      </c>
      <c r="G186" s="338">
        <f t="shared" si="58"/>
        <v>1</v>
      </c>
      <c r="H186" s="339">
        <f t="shared" si="59"/>
        <v>0</v>
      </c>
      <c r="I186" s="337">
        <f t="shared" si="60"/>
        <v>1391.1395392366665</v>
      </c>
      <c r="J186" s="340">
        <f t="shared" si="61"/>
        <v>1.5700774915825286</v>
      </c>
      <c r="K186" s="348">
        <f t="shared" si="82"/>
        <v>1.9108815859986257</v>
      </c>
      <c r="L186" s="349">
        <f t="shared" si="83"/>
        <v>1.0200554926565306</v>
      </c>
      <c r="M186" s="337">
        <f t="shared" si="64"/>
        <v>1.0004932666285165</v>
      </c>
      <c r="N186" s="340">
        <f t="shared" si="65"/>
        <v>3.1402673575780929E-2</v>
      </c>
      <c r="O186" s="341">
        <f t="shared" si="66"/>
        <v>0.99997448382859455</v>
      </c>
      <c r="P186" s="342">
        <f t="shared" si="67"/>
        <v>1.2971429822686375E-2</v>
      </c>
      <c r="Q186" s="343">
        <f t="shared" si="68"/>
        <v>16.488047352952989</v>
      </c>
      <c r="R186" s="344">
        <f t="shared" si="69"/>
        <v>-120.71223698128347</v>
      </c>
      <c r="S186" s="346">
        <f t="shared" si="70"/>
        <v>59.287763018716532</v>
      </c>
      <c r="U186" s="319">
        <f t="shared" si="76"/>
        <v>1000000000</v>
      </c>
      <c r="V186" s="319">
        <f t="shared" si="77"/>
        <v>109641841</v>
      </c>
      <c r="X186" s="345">
        <f t="shared" si="71"/>
        <v>40.460202617959979</v>
      </c>
      <c r="Y186" s="346">
        <f t="shared" si="72"/>
        <v>-33.313179877193875</v>
      </c>
      <c r="AA186" s="345">
        <f t="shared" si="73"/>
        <v>32.86059489308802</v>
      </c>
      <c r="AB186" s="346">
        <f t="shared" si="74"/>
        <v>-87.399057104089579</v>
      </c>
      <c r="AD186">
        <f t="shared" si="78"/>
        <v>0</v>
      </c>
      <c r="AE186">
        <f t="shared" si="81"/>
        <v>0</v>
      </c>
    </row>
    <row r="187" spans="1:31" x14ac:dyDescent="0.2">
      <c r="A187" s="347">
        <v>10532</v>
      </c>
      <c r="B187" s="364">
        <f t="shared" si="75"/>
        <v>10.532</v>
      </c>
      <c r="C187" s="337">
        <f t="shared" si="54"/>
        <v>26.042568811768092</v>
      </c>
      <c r="D187" s="338">
        <f t="shared" si="55"/>
        <v>1.5323882145461285</v>
      </c>
      <c r="E187" s="338">
        <f t="shared" si="56"/>
        <v>1.0001970385333114</v>
      </c>
      <c r="F187" s="339">
        <f t="shared" si="57"/>
        <v>1.9849744847928695E-2</v>
      </c>
      <c r="G187" s="338">
        <f t="shared" si="58"/>
        <v>1</v>
      </c>
      <c r="H187" s="339">
        <f t="shared" si="59"/>
        <v>0</v>
      </c>
      <c r="I187" s="337">
        <f t="shared" si="60"/>
        <v>1399.2437764796684</v>
      </c>
      <c r="J187" s="340">
        <f t="shared" si="61"/>
        <v>1.5700816549829255</v>
      </c>
      <c r="K187" s="348">
        <f t="shared" si="82"/>
        <v>1.9189714124498816</v>
      </c>
      <c r="L187" s="349">
        <f t="shared" si="83"/>
        <v>1.022642413321962</v>
      </c>
      <c r="M187" s="337">
        <f t="shared" si="64"/>
        <v>1.0004990290929823</v>
      </c>
      <c r="N187" s="340">
        <f t="shared" si="65"/>
        <v>3.1585492121737765E-2</v>
      </c>
      <c r="O187" s="341">
        <f t="shared" si="66"/>
        <v>0.99997418573513197</v>
      </c>
      <c r="P187" s="342">
        <f t="shared" si="67"/>
        <v>1.3047004525836115E-2</v>
      </c>
      <c r="Q187" s="343">
        <f t="shared" si="68"/>
        <v>16.42388148493303</v>
      </c>
      <c r="R187" s="344">
        <f t="shared" si="69"/>
        <v>-120.58528257672511</v>
      </c>
      <c r="S187" s="346">
        <f t="shared" si="70"/>
        <v>59.414717423274894</v>
      </c>
      <c r="U187" s="319">
        <f t="shared" si="76"/>
        <v>1000000000</v>
      </c>
      <c r="V187" s="319">
        <f t="shared" si="77"/>
        <v>110923024</v>
      </c>
      <c r="X187" s="345">
        <f t="shared" si="71"/>
        <v>40.446393390490989</v>
      </c>
      <c r="Y187" s="346">
        <f t="shared" si="72"/>
        <v>-33.175673517343569</v>
      </c>
      <c r="AA187" s="345">
        <f t="shared" si="73"/>
        <v>32.81023825253704</v>
      </c>
      <c r="AB187" s="346">
        <f t="shared" si="74"/>
        <v>-87.409609059381538</v>
      </c>
      <c r="AD187">
        <f t="shared" si="78"/>
        <v>0</v>
      </c>
      <c r="AE187">
        <f t="shared" si="81"/>
        <v>0</v>
      </c>
    </row>
    <row r="188" spans="1:31" x14ac:dyDescent="0.2">
      <c r="A188" s="347">
        <v>10593</v>
      </c>
      <c r="B188" s="364">
        <f t="shared" si="75"/>
        <v>10.593</v>
      </c>
      <c r="C188" s="337">
        <f t="shared" si="54"/>
        <v>26.193182286219212</v>
      </c>
      <c r="D188" s="338">
        <f t="shared" si="55"/>
        <v>1.5326091728421389</v>
      </c>
      <c r="E188" s="338">
        <f t="shared" si="56"/>
        <v>1.0001993273591148</v>
      </c>
      <c r="F188" s="339">
        <f t="shared" si="57"/>
        <v>1.9964681577658246E-2</v>
      </c>
      <c r="G188" s="338">
        <f t="shared" si="58"/>
        <v>1</v>
      </c>
      <c r="H188" s="339">
        <f t="shared" si="59"/>
        <v>0</v>
      </c>
      <c r="I188" s="337">
        <f t="shared" si="60"/>
        <v>1407.3480137466458</v>
      </c>
      <c r="J188" s="340">
        <f t="shared" si="61"/>
        <v>1.5700857704332998</v>
      </c>
      <c r="K188" s="348">
        <f t="shared" si="82"/>
        <v>1.9270739730906117</v>
      </c>
      <c r="L188" s="349">
        <f t="shared" si="83"/>
        <v>1.0252075971399017</v>
      </c>
      <c r="M188" s="337">
        <f t="shared" si="64"/>
        <v>1.0005048249963615</v>
      </c>
      <c r="N188" s="340">
        <f t="shared" si="65"/>
        <v>3.1768308555676771E-2</v>
      </c>
      <c r="O188" s="341">
        <f t="shared" si="66"/>
        <v>0.99997388591170178</v>
      </c>
      <c r="P188" s="342">
        <f t="shared" si="67"/>
        <v>1.3122579371270015E-2</v>
      </c>
      <c r="Q188" s="343">
        <f t="shared" si="68"/>
        <v>16.36019995639365</v>
      </c>
      <c r="R188" s="344">
        <f t="shared" si="69"/>
        <v>-120.45942348613163</v>
      </c>
      <c r="S188" s="346">
        <f t="shared" si="70"/>
        <v>59.540576513868373</v>
      </c>
      <c r="U188" s="319">
        <f t="shared" si="76"/>
        <v>1000000000</v>
      </c>
      <c r="V188" s="319">
        <f t="shared" si="77"/>
        <v>112211649</v>
      </c>
      <c r="X188" s="345">
        <f t="shared" si="71"/>
        <v>40.432778280560278</v>
      </c>
      <c r="Y188" s="346">
        <f t="shared" si="72"/>
        <v>-33.039409718772248</v>
      </c>
      <c r="AA188" s="345">
        <f t="shared" si="73"/>
        <v>32.760171833928382</v>
      </c>
      <c r="AB188" s="346">
        <f t="shared" si="74"/>
        <v>-87.420013767359393</v>
      </c>
      <c r="AD188">
        <f t="shared" si="78"/>
        <v>0</v>
      </c>
      <c r="AE188">
        <f t="shared" si="81"/>
        <v>0</v>
      </c>
    </row>
    <row r="189" spans="1:31" x14ac:dyDescent="0.2">
      <c r="A189" s="347">
        <v>10654</v>
      </c>
      <c r="B189" s="364">
        <f t="shared" si="75"/>
        <v>10.654</v>
      </c>
      <c r="C189" s="337">
        <f t="shared" si="54"/>
        <v>26.343797024866149</v>
      </c>
      <c r="D189" s="338">
        <f t="shared" si="55"/>
        <v>1.5328276045899196</v>
      </c>
      <c r="E189" s="338">
        <f t="shared" si="56"/>
        <v>1.0002016293979425</v>
      </c>
      <c r="F189" s="339">
        <f t="shared" si="57"/>
        <v>2.0079617779835194E-2</v>
      </c>
      <c r="G189" s="338">
        <f t="shared" si="58"/>
        <v>1</v>
      </c>
      <c r="H189" s="339">
        <f t="shared" si="59"/>
        <v>0</v>
      </c>
      <c r="I189" s="337">
        <f t="shared" si="60"/>
        <v>1415.4522510371862</v>
      </c>
      <c r="J189" s="340">
        <f t="shared" si="61"/>
        <v>1.5700898387572713</v>
      </c>
      <c r="K189" s="348">
        <f t="shared" si="82"/>
        <v>1.9351891079681722</v>
      </c>
      <c r="L189" s="349">
        <f t="shared" si="83"/>
        <v>1.0277512835961413</v>
      </c>
      <c r="M189" s="337">
        <f t="shared" si="64"/>
        <v>1.0005106543380735</v>
      </c>
      <c r="N189" s="340">
        <f t="shared" si="65"/>
        <v>3.1951122865414641E-2</v>
      </c>
      <c r="O189" s="341">
        <f t="shared" si="66"/>
        <v>0.99997358435833117</v>
      </c>
      <c r="P189" s="342">
        <f t="shared" si="67"/>
        <v>1.319815435981209E-2</v>
      </c>
      <c r="Q189" s="343">
        <f t="shared" si="68"/>
        <v>16.296995958751832</v>
      </c>
      <c r="R189" s="344">
        <f t="shared" si="69"/>
        <v>-120.33464855965948</v>
      </c>
      <c r="S189" s="346">
        <f t="shared" si="70"/>
        <v>59.665351440340515</v>
      </c>
      <c r="U189" s="319">
        <f t="shared" si="76"/>
        <v>1000000000</v>
      </c>
      <c r="V189" s="319">
        <f t="shared" si="77"/>
        <v>113507716</v>
      </c>
      <c r="X189" s="345">
        <f t="shared" si="71"/>
        <v>40.419353796443112</v>
      </c>
      <c r="Y189" s="346">
        <f t="shared" si="72"/>
        <v>-32.904374806446661</v>
      </c>
      <c r="AA189" s="345">
        <f t="shared" si="73"/>
        <v>32.710392320403727</v>
      </c>
      <c r="AB189" s="346">
        <f t="shared" si="74"/>
        <v>-87.43027375321283</v>
      </c>
      <c r="AD189">
        <f t="shared" si="78"/>
        <v>0</v>
      </c>
      <c r="AE189">
        <f t="shared" si="81"/>
        <v>0</v>
      </c>
    </row>
    <row r="190" spans="1:31" x14ac:dyDescent="0.2">
      <c r="A190" s="347">
        <v>10715</v>
      </c>
      <c r="B190" s="364">
        <f t="shared" si="75"/>
        <v>10.715</v>
      </c>
      <c r="C190" s="337">
        <f t="shared" si="54"/>
        <v>26.494413006148889</v>
      </c>
      <c r="D190" s="338">
        <f t="shared" si="55"/>
        <v>1.5330435528573658</v>
      </c>
      <c r="E190" s="338">
        <f t="shared" si="56"/>
        <v>1.0002039446497035</v>
      </c>
      <c r="F190" s="339">
        <f t="shared" si="57"/>
        <v>2.0194553451426508E-2</v>
      </c>
      <c r="G190" s="338">
        <f t="shared" si="58"/>
        <v>1</v>
      </c>
      <c r="H190" s="339">
        <f t="shared" si="59"/>
        <v>0</v>
      </c>
      <c r="I190" s="337">
        <f t="shared" si="60"/>
        <v>1423.5564883508875</v>
      </c>
      <c r="J190" s="340">
        <f t="shared" si="61"/>
        <v>1.570093860759705</v>
      </c>
      <c r="K190" s="348">
        <f t="shared" si="82"/>
        <v>1.9433166595555489</v>
      </c>
      <c r="L190" s="349">
        <f t="shared" si="83"/>
        <v>1.0302737092921406</v>
      </c>
      <c r="M190" s="337">
        <f t="shared" si="64"/>
        <v>1.0005165171175336</v>
      </c>
      <c r="N190" s="340">
        <f t="shared" si="65"/>
        <v>3.21339350387689E-2</v>
      </c>
      <c r="O190" s="341">
        <f t="shared" si="66"/>
        <v>0.99997328107504768</v>
      </c>
      <c r="P190" s="342">
        <f t="shared" si="67"/>
        <v>1.3273729492286345E-2</v>
      </c>
      <c r="Q190" s="343">
        <f t="shared" si="68"/>
        <v>16.234262814789766</v>
      </c>
      <c r="R190" s="344">
        <f t="shared" si="69"/>
        <v>-120.21094675429055</v>
      </c>
      <c r="S190" s="346">
        <f t="shared" si="70"/>
        <v>59.789053245709454</v>
      </c>
      <c r="U190" s="319">
        <f t="shared" si="76"/>
        <v>1000000000</v>
      </c>
      <c r="V190" s="319">
        <f t="shared" si="77"/>
        <v>114811225</v>
      </c>
      <c r="X190" s="345">
        <f t="shared" si="71"/>
        <v>40.406116521298927</v>
      </c>
      <c r="Y190" s="346">
        <f t="shared" si="72"/>
        <v>-32.7705552695191</v>
      </c>
      <c r="AA190" s="345">
        <f t="shared" si="73"/>
        <v>32.660896451585856</v>
      </c>
      <c r="AB190" s="346">
        <f t="shared" si="74"/>
        <v>-87.440391484771453</v>
      </c>
      <c r="AD190">
        <f t="shared" si="78"/>
        <v>0</v>
      </c>
      <c r="AE190">
        <f t="shared" si="81"/>
        <v>0</v>
      </c>
    </row>
    <row r="191" spans="1:31" x14ac:dyDescent="0.2">
      <c r="A191" s="347">
        <v>10777.5</v>
      </c>
      <c r="B191" s="364">
        <f t="shared" si="75"/>
        <v>10.7775</v>
      </c>
      <c r="C191" s="337">
        <f t="shared" si="54"/>
        <v>26.648733925916531</v>
      </c>
      <c r="D191" s="338">
        <f t="shared" si="55"/>
        <v>1.5332622795053445</v>
      </c>
      <c r="E191" s="338">
        <f t="shared" si="56"/>
        <v>1.0002063305380795</v>
      </c>
      <c r="F191" s="339">
        <f t="shared" si="57"/>
        <v>2.0312314856535806E-2</v>
      </c>
      <c r="G191" s="338">
        <f t="shared" si="58"/>
        <v>1</v>
      </c>
      <c r="H191" s="339">
        <f t="shared" si="59"/>
        <v>0</v>
      </c>
      <c r="I191" s="337">
        <f t="shared" si="60"/>
        <v>1431.8600102123069</v>
      </c>
      <c r="J191" s="340">
        <f t="shared" si="61"/>
        <v>1.5700979344421808</v>
      </c>
      <c r="K191" s="348">
        <f t="shared" si="82"/>
        <v>1.9516567852112061</v>
      </c>
      <c r="L191" s="349">
        <f t="shared" si="83"/>
        <v>1.0328363548594734</v>
      </c>
      <c r="M191" s="337">
        <f t="shared" si="64"/>
        <v>1.0005225587443043</v>
      </c>
      <c r="N191" s="340">
        <f t="shared" si="65"/>
        <v>3.232124036486643E-2</v>
      </c>
      <c r="O191" s="341">
        <f t="shared" si="66"/>
        <v>0.99997296853976303</v>
      </c>
      <c r="P191" s="342">
        <f t="shared" si="67"/>
        <v>1.3351163179803838E-2</v>
      </c>
      <c r="Q191" s="343">
        <f t="shared" si="68"/>
        <v>16.170468568744177</v>
      </c>
      <c r="R191" s="344">
        <f t="shared" si="69"/>
        <v>-120.08530469401036</v>
      </c>
      <c r="S191" s="346">
        <f t="shared" si="70"/>
        <v>59.914695305989639</v>
      </c>
      <c r="U191" s="319">
        <f t="shared" si="76"/>
        <v>1000000000</v>
      </c>
      <c r="V191" s="319">
        <f t="shared" si="77"/>
        <v>116154506.25</v>
      </c>
      <c r="X191" s="345">
        <f t="shared" si="71"/>
        <v>40.392744414093762</v>
      </c>
      <c r="Y191" s="346">
        <f t="shared" si="72"/>
        <v>-32.634691703446428</v>
      </c>
      <c r="AA191" s="345">
        <f t="shared" si="73"/>
        <v>32.610474312745424</v>
      </c>
      <c r="AB191" s="346">
        <f t="shared" si="74"/>
        <v>-87.45061299056394</v>
      </c>
      <c r="AD191">
        <f t="shared" si="78"/>
        <v>0</v>
      </c>
      <c r="AE191">
        <f t="shared" si="81"/>
        <v>0</v>
      </c>
    </row>
    <row r="192" spans="1:31" x14ac:dyDescent="0.2">
      <c r="A192" s="347">
        <v>10840</v>
      </c>
      <c r="B192" s="364">
        <f t="shared" si="75"/>
        <v>10.84</v>
      </c>
      <c r="C192" s="337">
        <f t="shared" si="54"/>
        <v>26.803056105914628</v>
      </c>
      <c r="D192" s="338">
        <f t="shared" si="55"/>
        <v>1.5334784874677141</v>
      </c>
      <c r="E192" s="338">
        <f t="shared" si="56"/>
        <v>1.0002087302969989</v>
      </c>
      <c r="F192" s="339">
        <f t="shared" si="57"/>
        <v>2.0430075698198158E-2</v>
      </c>
      <c r="G192" s="338">
        <f t="shared" si="58"/>
        <v>1</v>
      </c>
      <c r="H192" s="339">
        <f t="shared" si="59"/>
        <v>0</v>
      </c>
      <c r="I192" s="337">
        <f t="shared" si="60"/>
        <v>1440.1635320972139</v>
      </c>
      <c r="J192" s="340">
        <f t="shared" si="61"/>
        <v>1.5701019611495584</v>
      </c>
      <c r="K192" s="348">
        <f t="shared" si="82"/>
        <v>1.960009618570435</v>
      </c>
      <c r="L192" s="349">
        <f t="shared" si="83"/>
        <v>1.035377174906426</v>
      </c>
      <c r="M192" s="337">
        <f t="shared" si="64"/>
        <v>1.0005286354722689</v>
      </c>
      <c r="N192" s="340">
        <f t="shared" si="65"/>
        <v>3.2508543422330831E-2</v>
      </c>
      <c r="O192" s="341">
        <f t="shared" si="66"/>
        <v>0.99997265418850045</v>
      </c>
      <c r="P192" s="342">
        <f t="shared" si="67"/>
        <v>1.3428597020170512E-2</v>
      </c>
      <c r="Q192" s="343">
        <f t="shared" si="68"/>
        <v>16.107154835589458</v>
      </c>
      <c r="R192" s="344">
        <f t="shared" si="69"/>
        <v>-119.96076605346234</v>
      </c>
      <c r="S192" s="346">
        <f t="shared" si="70"/>
        <v>60.039233946537664</v>
      </c>
      <c r="U192" s="319">
        <f t="shared" si="76"/>
        <v>1000000000</v>
      </c>
      <c r="V192" s="319">
        <f t="shared" si="77"/>
        <v>117505600</v>
      </c>
      <c r="X192" s="345">
        <f t="shared" si="71"/>
        <v>40.379561807054202</v>
      </c>
      <c r="Y192" s="346">
        <f t="shared" si="72"/>
        <v>-32.500075826120671</v>
      </c>
      <c r="AA192" s="345">
        <f t="shared" si="73"/>
        <v>32.56034318663027</v>
      </c>
      <c r="AB192" s="346">
        <f t="shared" si="74"/>
        <v>-87.460690227341701</v>
      </c>
      <c r="AD192">
        <f t="shared" si="78"/>
        <v>0</v>
      </c>
      <c r="AE192">
        <f t="shared" si="81"/>
        <v>0</v>
      </c>
    </row>
    <row r="193" spans="1:31" x14ac:dyDescent="0.2">
      <c r="A193" s="347">
        <v>10902.5</v>
      </c>
      <c r="B193" s="364">
        <f t="shared" si="75"/>
        <v>10.9025</v>
      </c>
      <c r="C193" s="337">
        <f t="shared" si="54"/>
        <v>26.957379524499959</v>
      </c>
      <c r="D193" s="338">
        <f t="shared" si="55"/>
        <v>1.5336922199803864</v>
      </c>
      <c r="E193" s="338">
        <f t="shared" si="56"/>
        <v>1.0002111439263619</v>
      </c>
      <c r="F193" s="339">
        <f t="shared" si="57"/>
        <v>2.0547835973151508E-2</v>
      </c>
      <c r="G193" s="338">
        <f t="shared" si="58"/>
        <v>1</v>
      </c>
      <c r="H193" s="339">
        <f t="shared" si="59"/>
        <v>0</v>
      </c>
      <c r="I193" s="337">
        <f t="shared" si="60"/>
        <v>1448.4670540052045</v>
      </c>
      <c r="J193" s="340">
        <f t="shared" si="61"/>
        <v>1.5701059416897101</v>
      </c>
      <c r="K193" s="348">
        <f t="shared" si="82"/>
        <v>1.9683749978571623</v>
      </c>
      <c r="L193" s="349">
        <f t="shared" si="83"/>
        <v>1.0378964146853227</v>
      </c>
      <c r="M193" s="337">
        <f t="shared" si="64"/>
        <v>1.0005347473007873</v>
      </c>
      <c r="N193" s="340">
        <f t="shared" si="65"/>
        <v>3.2695844198061458E-2</v>
      </c>
      <c r="O193" s="341">
        <f t="shared" si="66"/>
        <v>0.99997233802128982</v>
      </c>
      <c r="P193" s="342">
        <f t="shared" si="67"/>
        <v>1.3506031014272666E-2</v>
      </c>
      <c r="Q193" s="343">
        <f t="shared" si="68"/>
        <v>16.044314842215492</v>
      </c>
      <c r="R193" s="344">
        <f t="shared" si="69"/>
        <v>-119.83731930373344</v>
      </c>
      <c r="S193" s="346">
        <f t="shared" si="70"/>
        <v>60.162680696266563</v>
      </c>
      <c r="U193" s="319">
        <f t="shared" si="76"/>
        <v>1000000000</v>
      </c>
      <c r="V193" s="319">
        <f t="shared" si="77"/>
        <v>118864506.25</v>
      </c>
      <c r="X193" s="345">
        <f t="shared" si="71"/>
        <v>40.366565257680861</v>
      </c>
      <c r="Y193" s="346">
        <f t="shared" si="72"/>
        <v>-32.366693631155769</v>
      </c>
      <c r="AA193" s="345">
        <f t="shared" si="73"/>
        <v>32.510499742629641</v>
      </c>
      <c r="AB193" s="346">
        <f t="shared" si="74"/>
        <v>-87.470625672577683</v>
      </c>
      <c r="AD193">
        <f t="shared" si="78"/>
        <v>0</v>
      </c>
      <c r="AE193">
        <f t="shared" si="81"/>
        <v>0</v>
      </c>
    </row>
    <row r="194" spans="1:31" x14ac:dyDescent="0.2">
      <c r="A194" s="347">
        <v>10965</v>
      </c>
      <c r="B194" s="364">
        <f t="shared" si="75"/>
        <v>10.965</v>
      </c>
      <c r="C194" s="337">
        <f t="shared" si="54"/>
        <v>27.11170416052191</v>
      </c>
      <c r="D194" s="338">
        <f t="shared" si="55"/>
        <v>1.5339035192957635</v>
      </c>
      <c r="E194" s="338">
        <f t="shared" si="56"/>
        <v>1.0002135714260683</v>
      </c>
      <c r="F194" s="339">
        <f t="shared" si="57"/>
        <v>2.0665595678133898E-2</v>
      </c>
      <c r="G194" s="338">
        <f t="shared" si="58"/>
        <v>1</v>
      </c>
      <c r="H194" s="339">
        <f t="shared" si="59"/>
        <v>0</v>
      </c>
      <c r="I194" s="337">
        <f t="shared" si="60"/>
        <v>1456.7705759358839</v>
      </c>
      <c r="J194" s="340">
        <f t="shared" si="61"/>
        <v>1.5701098768520887</v>
      </c>
      <c r="K194" s="348">
        <f t="shared" si="82"/>
        <v>1.9767527637928379</v>
      </c>
      <c r="L194" s="349">
        <f t="shared" si="83"/>
        <v>1.0403943163958764</v>
      </c>
      <c r="M194" s="337">
        <f t="shared" si="64"/>
        <v>1.0005408942292164</v>
      </c>
      <c r="N194" s="340">
        <f t="shared" si="65"/>
        <v>3.288314267895863E-2</v>
      </c>
      <c r="O194" s="341">
        <f t="shared" si="66"/>
        <v>0.99997202003816121</v>
      </c>
      <c r="P194" s="342">
        <f t="shared" si="67"/>
        <v>1.3583465162996602E-2</v>
      </c>
      <c r="Q194" s="343">
        <f t="shared" si="68"/>
        <v>15.981941946941978</v>
      </c>
      <c r="R194" s="344">
        <f t="shared" si="69"/>
        <v>-119.71495303340599</v>
      </c>
      <c r="S194" s="346">
        <f t="shared" si="70"/>
        <v>60.28504696659401</v>
      </c>
      <c r="U194" s="319">
        <f t="shared" si="76"/>
        <v>1000000000</v>
      </c>
      <c r="V194" s="319">
        <f t="shared" si="77"/>
        <v>120231225</v>
      </c>
      <c r="X194" s="345">
        <f t="shared" si="71"/>
        <v>40.353751398104059</v>
      </c>
      <c r="Y194" s="346">
        <f t="shared" si="72"/>
        <v>-32.234531286012128</v>
      </c>
      <c r="AA194" s="345">
        <f t="shared" si="73"/>
        <v>32.460940706932924</v>
      </c>
      <c r="AB194" s="346">
        <f t="shared" si="74"/>
        <v>-87.480421747393862</v>
      </c>
      <c r="AD194">
        <f t="shared" si="78"/>
        <v>0</v>
      </c>
      <c r="AE194">
        <f t="shared" si="81"/>
        <v>0</v>
      </c>
    </row>
    <row r="195" spans="1:31" x14ac:dyDescent="0.2">
      <c r="A195" s="347">
        <v>11028.75</v>
      </c>
      <c r="B195" s="364">
        <f t="shared" si="75"/>
        <v>11.02875</v>
      </c>
      <c r="C195" s="337">
        <f t="shared" si="54"/>
        <v>27.269116522031748</v>
      </c>
      <c r="D195" s="338">
        <f t="shared" si="55"/>
        <v>1.5341165807402251</v>
      </c>
      <c r="E195" s="338">
        <f t="shared" si="56"/>
        <v>1.0002160617648919</v>
      </c>
      <c r="F195" s="339">
        <f t="shared" si="57"/>
        <v>2.0785709986649071E-2</v>
      </c>
      <c r="G195" s="338">
        <f t="shared" si="58"/>
        <v>1</v>
      </c>
      <c r="H195" s="339">
        <f t="shared" si="59"/>
        <v>0</v>
      </c>
      <c r="I195" s="337">
        <f t="shared" si="60"/>
        <v>1465.2401683281512</v>
      </c>
      <c r="J195" s="340">
        <f t="shared" si="61"/>
        <v>1.5701138447695975</v>
      </c>
      <c r="K195" s="348">
        <f t="shared" si="82"/>
        <v>1.9853106831487439</v>
      </c>
      <c r="L195" s="349">
        <f t="shared" si="83"/>
        <v>1.0429204416924016</v>
      </c>
      <c r="M195" s="337">
        <f t="shared" si="64"/>
        <v>1.0005472002554714</v>
      </c>
      <c r="N195" s="340">
        <f t="shared" si="65"/>
        <v>3.3074184751752084E-2</v>
      </c>
      <c r="O195" s="341">
        <f t="shared" si="66"/>
        <v>0.99997169382464302</v>
      </c>
      <c r="P195" s="342">
        <f t="shared" si="67"/>
        <v>1.3662448154905521E-2</v>
      </c>
      <c r="Q195" s="343">
        <f t="shared" si="68"/>
        <v>15.918796044046331</v>
      </c>
      <c r="R195" s="344">
        <f t="shared" si="69"/>
        <v>-119.59124083535697</v>
      </c>
      <c r="S195" s="346">
        <f t="shared" si="70"/>
        <v>60.40875916464303</v>
      </c>
      <c r="U195" s="319">
        <f t="shared" si="76"/>
        <v>1000000000</v>
      </c>
      <c r="V195" s="319">
        <f t="shared" si="77"/>
        <v>121633326.5625</v>
      </c>
      <c r="X195" s="345">
        <f t="shared" si="71"/>
        <v>40.340866051490387</v>
      </c>
      <c r="Y195" s="346">
        <f t="shared" si="72"/>
        <v>-32.100968217254596</v>
      </c>
      <c r="AA195" s="345">
        <f t="shared" si="73"/>
        <v>32.410680150650954</v>
      </c>
      <c r="AB195" s="346">
        <f t="shared" si="74"/>
        <v>-87.490272618102352</v>
      </c>
      <c r="AD195">
        <f t="shared" si="78"/>
        <v>0</v>
      </c>
      <c r="AE195">
        <f t="shared" si="81"/>
        <v>0</v>
      </c>
    </row>
    <row r="196" spans="1:31" x14ac:dyDescent="0.2">
      <c r="A196" s="347">
        <v>11092.5</v>
      </c>
      <c r="B196" s="364">
        <f t="shared" si="75"/>
        <v>11.092499999999999</v>
      </c>
      <c r="C196" s="337">
        <f t="shared" si="54"/>
        <v>27.426530107218476</v>
      </c>
      <c r="D196" s="338">
        <f t="shared" si="55"/>
        <v>1.534327196477129</v>
      </c>
      <c r="E196" s="338">
        <f t="shared" si="56"/>
        <v>1.0002185665342078</v>
      </c>
      <c r="F196" s="339">
        <f t="shared" si="57"/>
        <v>2.0905823695311385E-2</v>
      </c>
      <c r="G196" s="338">
        <f t="shared" si="58"/>
        <v>1</v>
      </c>
      <c r="H196" s="339">
        <f t="shared" si="59"/>
        <v>0</v>
      </c>
      <c r="I196" s="337">
        <f t="shared" si="60"/>
        <v>1473.7097607432224</v>
      </c>
      <c r="J196" s="340">
        <f t="shared" si="61"/>
        <v>1.5701177670788802</v>
      </c>
      <c r="K196" s="348">
        <f t="shared" si="82"/>
        <v>1.9938811625867032</v>
      </c>
      <c r="L196" s="349">
        <f t="shared" si="83"/>
        <v>1.0454248663112993</v>
      </c>
      <c r="M196" s="337">
        <f t="shared" si="64"/>
        <v>1.0005535427983103</v>
      </c>
      <c r="N196" s="340">
        <f t="shared" si="65"/>
        <v>3.3265224409473486E-2</v>
      </c>
      <c r="O196" s="341">
        <f t="shared" si="66"/>
        <v>0.99997136572190737</v>
      </c>
      <c r="P196" s="342">
        <f t="shared" si="67"/>
        <v>1.3741431309545589E-2</v>
      </c>
      <c r="Q196" s="343">
        <f t="shared" si="68"/>
        <v>15.856122556046319</v>
      </c>
      <c r="R196" s="344">
        <f t="shared" si="69"/>
        <v>-119.46862915798935</v>
      </c>
      <c r="S196" s="346">
        <f t="shared" si="70"/>
        <v>60.531370842010645</v>
      </c>
      <c r="U196" s="319">
        <f t="shared" si="76"/>
        <v>1000000000</v>
      </c>
      <c r="V196" s="319">
        <f t="shared" si="77"/>
        <v>123043556.25</v>
      </c>
      <c r="X196" s="345">
        <f t="shared" si="71"/>
        <v>40.328163926617307</v>
      </c>
      <c r="Y196" s="346">
        <f t="shared" si="72"/>
        <v>-31.968645754206801</v>
      </c>
      <c r="AA196" s="345">
        <f t="shared" si="73"/>
        <v>32.360708787524018</v>
      </c>
      <c r="AB196" s="346">
        <f t="shared" si="74"/>
        <v>-87.499983403782579</v>
      </c>
      <c r="AD196">
        <f t="shared" si="78"/>
        <v>0</v>
      </c>
      <c r="AE196">
        <f t="shared" si="81"/>
        <v>0</v>
      </c>
    </row>
    <row r="197" spans="1:31" x14ac:dyDescent="0.2">
      <c r="A197" s="347">
        <v>11156.25</v>
      </c>
      <c r="B197" s="364">
        <f t="shared" si="75"/>
        <v>11.15625</v>
      </c>
      <c r="C197" s="337">
        <f t="shared" si="54"/>
        <v>27.583944895132596</v>
      </c>
      <c r="D197" s="338">
        <f t="shared" si="55"/>
        <v>1.5345354083587828</v>
      </c>
      <c r="E197" s="338">
        <f t="shared" si="56"/>
        <v>1.0002210857339078</v>
      </c>
      <c r="F197" s="339">
        <f t="shared" si="57"/>
        <v>2.102593680065953E-2</v>
      </c>
      <c r="G197" s="338">
        <f t="shared" si="58"/>
        <v>1</v>
      </c>
      <c r="H197" s="339">
        <f t="shared" si="59"/>
        <v>0</v>
      </c>
      <c r="I197" s="337">
        <f t="shared" si="60"/>
        <v>1482.179353180707</v>
      </c>
      <c r="J197" s="340">
        <f t="shared" si="61"/>
        <v>1.5701216445617916</v>
      </c>
      <c r="K197" s="348">
        <f t="shared" si="82"/>
        <v>2.0024640408365237</v>
      </c>
      <c r="L197" s="349">
        <f t="shared" si="83"/>
        <v>1.0479078376710727</v>
      </c>
      <c r="M197" s="337">
        <f t="shared" si="64"/>
        <v>1.0005599218570382</v>
      </c>
      <c r="N197" s="340">
        <f t="shared" si="65"/>
        <v>3.3456261638224488E-2</v>
      </c>
      <c r="O197" s="341">
        <f t="shared" si="66"/>
        <v>0.99997103572998736</v>
      </c>
      <c r="P197" s="342">
        <f t="shared" si="67"/>
        <v>1.3820414627857347E-2</v>
      </c>
      <c r="Q197" s="343">
        <f t="shared" si="68"/>
        <v>15.793914837346975</v>
      </c>
      <c r="R197" s="344">
        <f t="shared" si="69"/>
        <v>-119.3471062674807</v>
      </c>
      <c r="S197" s="346">
        <f t="shared" si="70"/>
        <v>60.652893732519303</v>
      </c>
      <c r="U197" s="319">
        <f t="shared" si="76"/>
        <v>1000000000</v>
      </c>
      <c r="V197" s="319">
        <f t="shared" si="77"/>
        <v>124461914.0625</v>
      </c>
      <c r="X197" s="345">
        <f t="shared" si="71"/>
        <v>40.315641677604816</v>
      </c>
      <c r="Y197" s="346">
        <f t="shared" si="72"/>
        <v>-31.837549764833394</v>
      </c>
      <c r="AA197" s="345">
        <f t="shared" si="73"/>
        <v>32.311023317837162</v>
      </c>
      <c r="AB197" s="346">
        <f t="shared" si="74"/>
        <v>-87.5095565026473</v>
      </c>
      <c r="AD197">
        <f t="shared" si="78"/>
        <v>0</v>
      </c>
      <c r="AE197">
        <f t="shared" si="81"/>
        <v>0</v>
      </c>
    </row>
    <row r="198" spans="1:31" x14ac:dyDescent="0.2">
      <c r="A198" s="347">
        <v>11220</v>
      </c>
      <c r="B198" s="364">
        <f t="shared" si="75"/>
        <v>11.22</v>
      </c>
      <c r="C198" s="337">
        <f t="shared" si="54"/>
        <v>27.741360865299939</v>
      </c>
      <c r="D198" s="338">
        <f t="shared" si="55"/>
        <v>1.5347412572883883</v>
      </c>
      <c r="E198" s="338">
        <f t="shared" si="56"/>
        <v>1.0002236193638825</v>
      </c>
      <c r="F198" s="339">
        <f t="shared" si="57"/>
        <v>2.1146049299232302E-2</v>
      </c>
      <c r="G198" s="338">
        <f t="shared" si="58"/>
        <v>1</v>
      </c>
      <c r="H198" s="339">
        <f t="shared" si="59"/>
        <v>0</v>
      </c>
      <c r="I198" s="337">
        <f t="shared" si="60"/>
        <v>1490.6489456402226</v>
      </c>
      <c r="J198" s="340">
        <f t="shared" si="61"/>
        <v>1.5701254779824172</v>
      </c>
      <c r="K198" s="348">
        <f t="shared" si="82"/>
        <v>2.0110591591497839</v>
      </c>
      <c r="L198" s="349">
        <f t="shared" si="83"/>
        <v>1.0503696000277079</v>
      </c>
      <c r="M198" s="337">
        <f t="shared" si="64"/>
        <v>1.000566337430957</v>
      </c>
      <c r="N198" s="340">
        <f t="shared" si="65"/>
        <v>3.3647296424107784E-2</v>
      </c>
      <c r="O198" s="341">
        <f t="shared" si="66"/>
        <v>0.99997070384891529</v>
      </c>
      <c r="P198" s="342">
        <f t="shared" si="67"/>
        <v>1.3899398110781338E-2</v>
      </c>
      <c r="Q198" s="343">
        <f t="shared" si="68"/>
        <v>15.732166371444931</v>
      </c>
      <c r="R198" s="344">
        <f t="shared" si="69"/>
        <v>-119.22666055580943</v>
      </c>
      <c r="S198" s="346">
        <f t="shared" si="70"/>
        <v>60.773339444190569</v>
      </c>
      <c r="U198" s="319">
        <f t="shared" si="76"/>
        <v>1000000000</v>
      </c>
      <c r="V198" s="319">
        <f t="shared" si="77"/>
        <v>125888400</v>
      </c>
      <c r="X198" s="345">
        <f t="shared" si="71"/>
        <v>40.303296031556727</v>
      </c>
      <c r="Y198" s="346">
        <f t="shared" si="72"/>
        <v>-31.707666297279836</v>
      </c>
      <c r="AA198" s="345">
        <f t="shared" si="73"/>
        <v>32.261620497983202</v>
      </c>
      <c r="AB198" s="346">
        <f t="shared" si="74"/>
        <v>-87.51899425852956</v>
      </c>
      <c r="AD198">
        <f t="shared" si="78"/>
        <v>0</v>
      </c>
      <c r="AE198">
        <f t="shared" si="81"/>
        <v>0</v>
      </c>
    </row>
    <row r="199" spans="1:31" x14ac:dyDescent="0.2">
      <c r="A199" s="347">
        <v>11285.5</v>
      </c>
      <c r="B199" s="364">
        <f t="shared" si="75"/>
        <v>11.285500000000001</v>
      </c>
      <c r="C199" s="337">
        <f t="shared" si="54"/>
        <v>27.903099268526169</v>
      </c>
      <c r="D199" s="338">
        <f t="shared" si="55"/>
        <v>1.5349503378492513</v>
      </c>
      <c r="E199" s="338">
        <f t="shared" si="56"/>
        <v>1.0002262375742683</v>
      </c>
      <c r="F199" s="339">
        <f t="shared" si="57"/>
        <v>2.1269458368021465E-2</v>
      </c>
      <c r="G199" s="338">
        <f t="shared" si="58"/>
        <v>1</v>
      </c>
      <c r="H199" s="339">
        <f t="shared" si="59"/>
        <v>0</v>
      </c>
      <c r="I199" s="337">
        <f t="shared" si="60"/>
        <v>1499.351036738828</v>
      </c>
      <c r="J199" s="340">
        <f t="shared" si="61"/>
        <v>1.5701293715258269</v>
      </c>
      <c r="K199" s="348">
        <f t="shared" si="82"/>
        <v>2.0199028063293527</v>
      </c>
      <c r="L199" s="349">
        <f t="shared" si="83"/>
        <v>1.0528771032932362</v>
      </c>
      <c r="M199" s="337">
        <f t="shared" si="64"/>
        <v>1.0005729671504473</v>
      </c>
      <c r="N199" s="340">
        <f t="shared" si="65"/>
        <v>3.3843572743169688E-2</v>
      </c>
      <c r="O199" s="341">
        <f t="shared" si="66"/>
        <v>0.99997036088976488</v>
      </c>
      <c r="P199" s="342">
        <f t="shared" si="67"/>
        <v>1.398054994018736E-2</v>
      </c>
      <c r="Q199" s="343">
        <f t="shared" si="68"/>
        <v>15.66919446979181</v>
      </c>
      <c r="R199" s="344">
        <f t="shared" si="69"/>
        <v>-119.1040183619897</v>
      </c>
      <c r="S199" s="346">
        <f t="shared" si="70"/>
        <v>60.895981638010298</v>
      </c>
      <c r="U199" s="319">
        <f t="shared" si="76"/>
        <v>1000000000</v>
      </c>
      <c r="V199" s="319">
        <f t="shared" si="77"/>
        <v>127362510.25</v>
      </c>
      <c r="X199" s="345">
        <f t="shared" si="71"/>
        <v>40.290792062013374</v>
      </c>
      <c r="Y199" s="346">
        <f t="shared" si="72"/>
        <v>-31.575465831204067</v>
      </c>
      <c r="AA199" s="345">
        <f t="shared" si="73"/>
        <v>32.211152565873448</v>
      </c>
      <c r="AB199" s="346">
        <f t="shared" si="74"/>
        <v>-87.528552530785632</v>
      </c>
      <c r="AD199">
        <f t="shared" si="78"/>
        <v>0</v>
      </c>
      <c r="AE199">
        <f t="shared" si="81"/>
        <v>0</v>
      </c>
    </row>
    <row r="200" spans="1:31" x14ac:dyDescent="0.2">
      <c r="A200" s="347">
        <v>11351</v>
      </c>
      <c r="B200" s="364">
        <f t="shared" si="75"/>
        <v>11.351000000000001</v>
      </c>
      <c r="C200" s="337">
        <f t="shared" si="54"/>
        <v>28.064838877468265</v>
      </c>
      <c r="D200" s="338">
        <f t="shared" si="55"/>
        <v>1.535157008527575</v>
      </c>
      <c r="E200" s="338">
        <f t="shared" si="56"/>
        <v>1.0002288710178182</v>
      </c>
      <c r="F200" s="339">
        <f t="shared" si="57"/>
        <v>2.1392866788857202E-2</v>
      </c>
      <c r="G200" s="338">
        <f t="shared" si="58"/>
        <v>1</v>
      </c>
      <c r="H200" s="339">
        <f t="shared" si="59"/>
        <v>0</v>
      </c>
      <c r="I200" s="337">
        <f t="shared" si="60"/>
        <v>1508.0531278599012</v>
      </c>
      <c r="J200" s="340">
        <f t="shared" si="61"/>
        <v>1.5701332201345204</v>
      </c>
      <c r="K200" s="348">
        <f t="shared" si="82"/>
        <v>2.0287590430234914</v>
      </c>
      <c r="L200" s="349">
        <f t="shared" si="83"/>
        <v>1.0553627298314265</v>
      </c>
      <c r="M200" s="337">
        <f t="shared" si="64"/>
        <v>1.0005796354158925</v>
      </c>
      <c r="N200" s="340">
        <f t="shared" si="65"/>
        <v>3.4039846453664035E-2</v>
      </c>
      <c r="O200" s="341">
        <f t="shared" si="66"/>
        <v>0.99997001593639145</v>
      </c>
      <c r="P200" s="342">
        <f t="shared" si="67"/>
        <v>1.406170194538022E-2</v>
      </c>
      <c r="Q200" s="343">
        <f t="shared" si="68"/>
        <v>15.606693839135559</v>
      </c>
      <c r="R200" s="344">
        <f t="shared" si="69"/>
        <v>-118.98248885938604</v>
      </c>
      <c r="S200" s="346">
        <f t="shared" si="70"/>
        <v>61.017511140613962</v>
      </c>
      <c r="U200" s="319">
        <f t="shared" si="76"/>
        <v>1000000000</v>
      </c>
      <c r="V200" s="319">
        <f t="shared" si="77"/>
        <v>128845201</v>
      </c>
      <c r="X200" s="345">
        <f t="shared" si="71"/>
        <v>40.278467748290709</v>
      </c>
      <c r="Y200" s="346">
        <f t="shared" si="72"/>
        <v>-31.444516085246253</v>
      </c>
      <c r="AA200" s="345">
        <f t="shared" si="73"/>
        <v>32.160976248939861</v>
      </c>
      <c r="AB200" s="346">
        <f t="shared" si="74"/>
        <v>-87.53797277413976</v>
      </c>
      <c r="AD200">
        <f t="shared" si="78"/>
        <v>0</v>
      </c>
      <c r="AE200">
        <f t="shared" si="81"/>
        <v>0</v>
      </c>
    </row>
    <row r="201" spans="1:31" x14ac:dyDescent="0.2">
      <c r="A201" s="347">
        <v>11416.5</v>
      </c>
      <c r="B201" s="364">
        <f t="shared" si="75"/>
        <v>11.416499999999999</v>
      </c>
      <c r="C201" s="337">
        <f t="shared" si="54"/>
        <v>28.226579671399794</v>
      </c>
      <c r="D201" s="338">
        <f t="shared" si="55"/>
        <v>1.5353613107320703</v>
      </c>
      <c r="E201" s="338">
        <f t="shared" si="56"/>
        <v>1.0002315196944118</v>
      </c>
      <c r="F201" s="339">
        <f t="shared" si="57"/>
        <v>2.1516274557985712E-2</v>
      </c>
      <c r="G201" s="338">
        <f t="shared" si="58"/>
        <v>1</v>
      </c>
      <c r="H201" s="339">
        <f t="shared" si="59"/>
        <v>0</v>
      </c>
      <c r="I201" s="337">
        <f t="shared" si="60"/>
        <v>1516.7552190030547</v>
      </c>
      <c r="J201" s="340">
        <f t="shared" si="61"/>
        <v>1.5701370245819108</v>
      </c>
      <c r="K201" s="348">
        <f t="shared" si="82"/>
        <v>2.0376277050770173</v>
      </c>
      <c r="L201" s="349">
        <f t="shared" si="83"/>
        <v>1.0578267343784367</v>
      </c>
      <c r="M201" s="337">
        <f t="shared" si="64"/>
        <v>1.0005863422265218</v>
      </c>
      <c r="N201" s="340">
        <f t="shared" si="65"/>
        <v>3.4236117540520902E-2</v>
      </c>
      <c r="O201" s="341">
        <f t="shared" si="66"/>
        <v>0.99996966898883111</v>
      </c>
      <c r="P201" s="342">
        <f t="shared" si="67"/>
        <v>1.4142854127380046E-2</v>
      </c>
      <c r="Q201" s="343">
        <f t="shared" si="68"/>
        <v>15.544657817008083</v>
      </c>
      <c r="R201" s="344">
        <f t="shared" si="69"/>
        <v>-118.86205986895934</v>
      </c>
      <c r="S201" s="346">
        <f t="shared" si="70"/>
        <v>61.137940131040665</v>
      </c>
      <c r="U201" s="319">
        <f t="shared" si="76"/>
        <v>1000000000</v>
      </c>
      <c r="V201" s="319">
        <f t="shared" si="77"/>
        <v>130336472.25</v>
      </c>
      <c r="X201" s="345">
        <f t="shared" si="71"/>
        <v>40.266319769242756</v>
      </c>
      <c r="Y201" s="346">
        <f t="shared" si="72"/>
        <v>-31.314802507549501</v>
      </c>
      <c r="AA201" s="345">
        <f t="shared" si="73"/>
        <v>32.111088205860334</v>
      </c>
      <c r="AB201" s="346">
        <f t="shared" si="74"/>
        <v>-87.547257361409848</v>
      </c>
      <c r="AD201">
        <f t="shared" si="78"/>
        <v>0</v>
      </c>
      <c r="AE201">
        <f t="shared" si="81"/>
        <v>0</v>
      </c>
    </row>
    <row r="202" spans="1:31" x14ac:dyDescent="0.2">
      <c r="A202" s="347">
        <v>11482</v>
      </c>
      <c r="B202" s="364">
        <f t="shared" si="75"/>
        <v>11.481999999999999</v>
      </c>
      <c r="C202" s="337">
        <f t="shared" si="54"/>
        <v>28.388321630066535</v>
      </c>
      <c r="D202" s="338">
        <f t="shared" si="55"/>
        <v>1.5355632849285472</v>
      </c>
      <c r="E202" s="338">
        <f t="shared" si="56"/>
        <v>1.0002341836039279</v>
      </c>
      <c r="F202" s="339">
        <f t="shared" si="57"/>
        <v>2.1639681671653317E-2</v>
      </c>
      <c r="G202" s="338">
        <f t="shared" si="58"/>
        <v>1</v>
      </c>
      <c r="H202" s="339">
        <f t="shared" si="59"/>
        <v>0</v>
      </c>
      <c r="I202" s="337">
        <f t="shared" si="60"/>
        <v>1525.4573101679109</v>
      </c>
      <c r="J202" s="340">
        <f t="shared" si="61"/>
        <v>1.5701407856237626</v>
      </c>
      <c r="K202" s="348">
        <f t="shared" si="82"/>
        <v>2.0465086309519229</v>
      </c>
      <c r="L202" s="349">
        <f t="shared" si="83"/>
        <v>1.0602693683081605</v>
      </c>
      <c r="M202" s="337">
        <f t="shared" si="64"/>
        <v>1.0005930875815603</v>
      </c>
      <c r="N202" s="340">
        <f t="shared" si="65"/>
        <v>3.4432385988671536E-2</v>
      </c>
      <c r="O202" s="341">
        <f t="shared" si="66"/>
        <v>0.99996932004712025</v>
      </c>
      <c r="P202" s="342">
        <f t="shared" si="67"/>
        <v>1.4224006487206979E-2</v>
      </c>
      <c r="Q202" s="343">
        <f t="shared" si="68"/>
        <v>15.483079871402017</v>
      </c>
      <c r="R202" s="344">
        <f t="shared" si="69"/>
        <v>-118.74271934927889</v>
      </c>
      <c r="S202" s="346">
        <f t="shared" si="70"/>
        <v>61.257280650721114</v>
      </c>
      <c r="U202" s="319">
        <f t="shared" si="76"/>
        <v>1000000000</v>
      </c>
      <c r="V202" s="319">
        <f t="shared" si="77"/>
        <v>131836324</v>
      </c>
      <c r="X202" s="345">
        <f t="shared" si="71"/>
        <v>40.254344877127146</v>
      </c>
      <c r="Y202" s="346">
        <f t="shared" si="72"/>
        <v>-31.18631073788934</v>
      </c>
      <c r="AA202" s="345">
        <f t="shared" si="73"/>
        <v>32.061485152369883</v>
      </c>
      <c r="AB202" s="346">
        <f t="shared" si="74"/>
        <v>-87.556408611389557</v>
      </c>
      <c r="AD202">
        <f t="shared" si="78"/>
        <v>0</v>
      </c>
      <c r="AE202">
        <f t="shared" si="81"/>
        <v>0</v>
      </c>
    </row>
    <row r="203" spans="1:31" x14ac:dyDescent="0.2">
      <c r="A203" s="347">
        <v>11548.75</v>
      </c>
      <c r="B203" s="364">
        <f t="shared" si="75"/>
        <v>11.54875</v>
      </c>
      <c r="C203" s="337">
        <f t="shared" si="54"/>
        <v>28.55315144512976</v>
      </c>
      <c r="D203" s="338">
        <f t="shared" si="55"/>
        <v>1.5357667594643702</v>
      </c>
      <c r="E203" s="338">
        <f t="shared" si="56"/>
        <v>1.0002369140230392</v>
      </c>
      <c r="F203" s="339">
        <f t="shared" si="57"/>
        <v>2.1765443204680286E-2</v>
      </c>
      <c r="G203" s="338">
        <f t="shared" si="58"/>
        <v>1</v>
      </c>
      <c r="H203" s="339">
        <f t="shared" si="59"/>
        <v>0</v>
      </c>
      <c r="I203" s="337">
        <f t="shared" si="60"/>
        <v>1534.3254717967902</v>
      </c>
      <c r="J203" s="340">
        <f t="shared" si="61"/>
        <v>1.5701445745499014</v>
      </c>
      <c r="K203" s="348">
        <f t="shared" si="82"/>
        <v>2.0555714926882489</v>
      </c>
      <c r="L203" s="349">
        <f t="shared" si="83"/>
        <v>1.0627368879316488</v>
      </c>
      <c r="M203" s="337">
        <f t="shared" si="64"/>
        <v>1.0006000013187399</v>
      </c>
      <c r="N203" s="340">
        <f t="shared" si="65"/>
        <v>3.4632397287571351E-2</v>
      </c>
      <c r="O203" s="341">
        <f t="shared" si="66"/>
        <v>0.99996896239465605</v>
      </c>
      <c r="P203" s="342">
        <f t="shared" si="67"/>
        <v>1.4306707740197063E-2</v>
      </c>
      <c r="Q203" s="343">
        <f t="shared" si="68"/>
        <v>15.420791416464477</v>
      </c>
      <c r="R203" s="344">
        <f t="shared" si="69"/>
        <v>-118.62220884143842</v>
      </c>
      <c r="S203" s="346">
        <f t="shared" si="70"/>
        <v>61.377791158561578</v>
      </c>
      <c r="U203" s="319">
        <f t="shared" si="76"/>
        <v>1000000000</v>
      </c>
      <c r="V203" s="319">
        <f t="shared" si="77"/>
        <v>133373626.5625</v>
      </c>
      <c r="X203" s="345">
        <f t="shared" si="71"/>
        <v>40.242316241617303</v>
      </c>
      <c r="Y203" s="346">
        <f t="shared" si="72"/>
        <v>-31.056609170208077</v>
      </c>
      <c r="AA203" s="345">
        <f t="shared" si="73"/>
        <v>32.011225332942175</v>
      </c>
      <c r="AB203" s="346">
        <f t="shared" si="74"/>
        <v>-87.565599671230331</v>
      </c>
      <c r="AD203">
        <f t="shared" si="78"/>
        <v>0</v>
      </c>
      <c r="AE203">
        <f t="shared" si="81"/>
        <v>0</v>
      </c>
    </row>
    <row r="204" spans="1:31" x14ac:dyDescent="0.2">
      <c r="A204" s="347">
        <v>11615.5</v>
      </c>
      <c r="B204" s="364">
        <f t="shared" si="75"/>
        <v>11.615500000000001</v>
      </c>
      <c r="C204" s="337">
        <f t="shared" si="54"/>
        <v>28.717982428777102</v>
      </c>
      <c r="D204" s="338">
        <f t="shared" si="55"/>
        <v>1.5359678982658123</v>
      </c>
      <c r="E204" s="338">
        <f t="shared" si="56"/>
        <v>1.0002396602617742</v>
      </c>
      <c r="F204" s="339">
        <f t="shared" si="57"/>
        <v>2.1891204049119387E-2</v>
      </c>
      <c r="G204" s="338">
        <f t="shared" si="58"/>
        <v>1</v>
      </c>
      <c r="H204" s="339">
        <f t="shared" si="59"/>
        <v>0</v>
      </c>
      <c r="I204" s="337">
        <f t="shared" si="60"/>
        <v>1543.1936334474433</v>
      </c>
      <c r="J204" s="340">
        <f t="shared" si="61"/>
        <v>1.5701483199289328</v>
      </c>
      <c r="K204" s="348">
        <f t="shared" si="82"/>
        <v>2.0646467601659304</v>
      </c>
      <c r="L204" s="349">
        <f t="shared" si="83"/>
        <v>1.0651827301039263</v>
      </c>
      <c r="M204" s="337">
        <f t="shared" si="64"/>
        <v>1.0006069550838881</v>
      </c>
      <c r="N204" s="340">
        <f t="shared" si="65"/>
        <v>3.4832405814496432E-2</v>
      </c>
      <c r="O204" s="341">
        <f t="shared" si="66"/>
        <v>0.99996860267127918</v>
      </c>
      <c r="P204" s="342">
        <f t="shared" si="67"/>
        <v>1.4389409180005407E-2</v>
      </c>
      <c r="Q204" s="343">
        <f t="shared" si="68"/>
        <v>15.35896539191441</v>
      </c>
      <c r="R204" s="344">
        <f t="shared" si="69"/>
        <v>-118.50280392861123</v>
      </c>
      <c r="S204" s="346">
        <f t="shared" si="70"/>
        <v>61.497196071388771</v>
      </c>
      <c r="U204" s="319">
        <f t="shared" si="76"/>
        <v>1000000000</v>
      </c>
      <c r="V204" s="319">
        <f t="shared" si="77"/>
        <v>134919840.25</v>
      </c>
      <c r="X204" s="345">
        <f t="shared" si="71"/>
        <v>40.230460777018465</v>
      </c>
      <c r="Y204" s="346">
        <f t="shared" si="72"/>
        <v>-30.928146975105292</v>
      </c>
      <c r="AA204" s="345">
        <f t="shared" si="73"/>
        <v>31.961254772990948</v>
      </c>
      <c r="AB204" s="346">
        <f t="shared" si="74"/>
        <v>-87.574656953505936</v>
      </c>
      <c r="AD204">
        <f t="shared" si="78"/>
        <v>0</v>
      </c>
      <c r="AE204">
        <f t="shared" si="81"/>
        <v>0</v>
      </c>
    </row>
    <row r="205" spans="1:31" x14ac:dyDescent="0.2">
      <c r="A205" s="347">
        <v>11682.25</v>
      </c>
      <c r="B205" s="364">
        <f t="shared" si="75"/>
        <v>11.68225</v>
      </c>
      <c r="C205" s="337">
        <f t="shared" ref="C205:C268" si="84">SQRT(1+(A205/pole1)^2)</f>
        <v>28.882814561001634</v>
      </c>
      <c r="D205" s="338">
        <f t="shared" ref="D205:D268" si="85">ATAN(A205/pole1)</f>
        <v>1.5361667413060589</v>
      </c>
      <c r="E205" s="338">
        <f t="shared" ref="E205:E268" si="86">SQRT(1+(A205/Zero1)^2)</f>
        <v>1.0002424223200028</v>
      </c>
      <c r="F205" s="339">
        <f t="shared" ref="F205:F268" si="87">ATAN(A205/Zero1)</f>
        <v>2.2016964200998305E-2</v>
      </c>
      <c r="G205" s="338">
        <f t="shared" ref="G205:G268" si="88">IF(VIN_nom&gt;Vout, 1, SQRT(1+(A205/z_RHP)^2))</f>
        <v>1</v>
      </c>
      <c r="H205" s="339">
        <f t="shared" ref="H205:H268" si="89">IF(VIN_nom&gt;Vout, 0, -ATAN(A205/z_RHP))</f>
        <v>0</v>
      </c>
      <c r="I205" s="337">
        <f t="shared" ref="I205:I268" si="90">SQRT(1+(A205/Pole2)^2)</f>
        <v>1552.0617951194965</v>
      </c>
      <c r="J205" s="340">
        <f t="shared" ref="J205:J268" si="91">ATAN(A205/Pole2)</f>
        <v>1.5701520225073144</v>
      </c>
      <c r="K205" s="348">
        <f t="shared" si="82"/>
        <v>2.0737342705115211</v>
      </c>
      <c r="L205" s="349">
        <f t="shared" si="83"/>
        <v>1.0676071503534341</v>
      </c>
      <c r="M205" s="337">
        <f t="shared" ref="M205:M268" si="92">SQRT(1+(A205/pole4)^2)</f>
        <v>1.0006139488761701</v>
      </c>
      <c r="N205" s="340">
        <f t="shared" ref="N205:N268" si="93">ATAN(A205/pole4)</f>
        <v>3.5032411553502708E-2</v>
      </c>
      <c r="O205" s="341">
        <f t="shared" ref="O205:O268" si="94">SQRT((1-(V205/pterm2))^2+(A205/pterm1)^2)</f>
        <v>0.99996824087702885</v>
      </c>
      <c r="P205" s="342">
        <f t="shared" ref="P205:P268" si="95">IF((ATAN((A205/pterm1)/(1-A205^2/pterm2))&gt;0),ATAN((A205/pterm1)/(1-A205^2/pterm2)),PI()+ATAN((A205/pterm1)/(1-A205^2/pterm2)))</f>
        <v>1.4472110807711665E-2</v>
      </c>
      <c r="Q205" s="343">
        <f t="shared" ref="Q205:Q268" si="96">20*LOG10(((E205*K205*G205)/(C205*I205*O205*M205))*Adc)</f>
        <v>15.297595282743517</v>
      </c>
      <c r="R205" s="344">
        <f t="shared" ref="R205:R268" si="97">((F205+L205+H205)-(D205+J205+P205+N205))*radconv</f>
        <v>-118.38449230253572</v>
      </c>
      <c r="S205" s="346">
        <f t="shared" ref="S205:S268" si="98">IF(R205&gt;0,R205,R205+180)</f>
        <v>61.615507697464281</v>
      </c>
      <c r="U205" s="319">
        <f t="shared" si="76"/>
        <v>1000000000</v>
      </c>
      <c r="V205" s="319">
        <f t="shared" si="77"/>
        <v>136474965.0625</v>
      </c>
      <c r="X205" s="345">
        <f t="shared" ref="X205:X268" si="99">20*LOG10((K205/(I205*M205))*AEA)</f>
        <v>40.218775269519739</v>
      </c>
      <c r="Y205" s="346">
        <f t="shared" ref="Y205:Y268" si="100">(L205-(J205+N205))*radconv</f>
        <v>-30.800909553735092</v>
      </c>
      <c r="AA205" s="345">
        <f t="shared" ref="AA205:AA268" si="101">20*LOG10((E205*G205/(C205*O205))*Acs*Am)</f>
        <v>31.911570171318786</v>
      </c>
      <c r="AB205" s="346">
        <f t="shared" ref="AB205:AB268" si="102">(F205+H205-(D205+P205))*radconv</f>
        <v>-87.583582748800666</v>
      </c>
      <c r="AD205">
        <f t="shared" si="78"/>
        <v>0</v>
      </c>
      <c r="AE205">
        <f t="shared" si="81"/>
        <v>0</v>
      </c>
    </row>
    <row r="206" spans="1:31" x14ac:dyDescent="0.2">
      <c r="A206" s="347">
        <v>11749</v>
      </c>
      <c r="B206" s="364">
        <f t="shared" ref="B206:B269" si="103">A206/1000</f>
        <v>11.749000000000001</v>
      </c>
      <c r="C206" s="337">
        <f t="shared" si="84"/>
        <v>29.047647822250397</v>
      </c>
      <c r="D206" s="338">
        <f t="shared" si="85"/>
        <v>1.5363633276517066</v>
      </c>
      <c r="E206" s="338">
        <f t="shared" si="86"/>
        <v>1.0002452001975937</v>
      </c>
      <c r="F206" s="339">
        <f t="shared" si="87"/>
        <v>2.2142723656344832E-2</v>
      </c>
      <c r="G206" s="338">
        <f t="shared" si="88"/>
        <v>1</v>
      </c>
      <c r="H206" s="339">
        <f t="shared" si="89"/>
        <v>0</v>
      </c>
      <c r="I206" s="337">
        <f t="shared" si="90"/>
        <v>1560.9299568125855</v>
      </c>
      <c r="J206" s="340">
        <f t="shared" si="91"/>
        <v>1.5701556830145402</v>
      </c>
      <c r="K206" s="348">
        <f t="shared" si="82"/>
        <v>2.0828338634762549</v>
      </c>
      <c r="L206" s="349">
        <f t="shared" si="83"/>
        <v>1.0700104007594986</v>
      </c>
      <c r="M206" s="337">
        <f t="shared" si="92"/>
        <v>1.0006209826947465</v>
      </c>
      <c r="N206" s="340">
        <f t="shared" si="93"/>
        <v>3.5232414488647411E-2</v>
      </c>
      <c r="O206" s="341">
        <f t="shared" si="94"/>
        <v>0.99996787701194423</v>
      </c>
      <c r="P206" s="342">
        <f t="shared" si="95"/>
        <v>1.4554812624395489E-2</v>
      </c>
      <c r="Q206" s="343">
        <f t="shared" si="96"/>
        <v>15.236674701475053</v>
      </c>
      <c r="R206" s="344">
        <f t="shared" si="97"/>
        <v>-118.26726179965451</v>
      </c>
      <c r="S206" s="346">
        <f t="shared" si="98"/>
        <v>61.732738200345494</v>
      </c>
      <c r="U206" s="319">
        <f t="shared" ref="U206:U269" si="104">IF(Q206&lt;0,A206,1000000000)</f>
        <v>1000000000</v>
      </c>
      <c r="V206" s="319">
        <f t="shared" ref="V206:V269" si="105">A206^2</f>
        <v>138039001</v>
      </c>
      <c r="X206" s="345">
        <f t="shared" si="99"/>
        <v>40.207256576687371</v>
      </c>
      <c r="Y206" s="346">
        <f t="shared" si="100"/>
        <v>-30.674882503899415</v>
      </c>
      <c r="AA206" s="345">
        <f t="shared" si="101"/>
        <v>31.862168282882696</v>
      </c>
      <c r="AB206" s="346">
        <f t="shared" si="102"/>
        <v>-87.592379295755066</v>
      </c>
      <c r="AD206">
        <f t="shared" ref="AD206:AD269" si="106">SUM((Q207&lt;0)*(Q206&gt;0))*A206</f>
        <v>0</v>
      </c>
      <c r="AE206">
        <f t="shared" si="81"/>
        <v>0</v>
      </c>
    </row>
    <row r="207" spans="1:31" x14ac:dyDescent="0.2">
      <c r="A207" s="347">
        <v>11817.5</v>
      </c>
      <c r="B207" s="364">
        <f t="shared" si="103"/>
        <v>11.817500000000001</v>
      </c>
      <c r="C207" s="337">
        <f t="shared" si="84"/>
        <v>29.216803708539324</v>
      </c>
      <c r="D207" s="338">
        <f t="shared" si="85"/>
        <v>1.5365627617712965</v>
      </c>
      <c r="E207" s="338">
        <f t="shared" si="86"/>
        <v>1.0002480673502063</v>
      </c>
      <c r="F207" s="339">
        <f t="shared" si="87"/>
        <v>2.2271779447734539E-2</v>
      </c>
      <c r="G207" s="338">
        <f t="shared" si="88"/>
        <v>1</v>
      </c>
      <c r="H207" s="339">
        <f t="shared" si="89"/>
        <v>0</v>
      </c>
      <c r="I207" s="337">
        <f t="shared" si="90"/>
        <v>1570.0306171483378</v>
      </c>
      <c r="J207" s="340">
        <f t="shared" si="91"/>
        <v>1.5701593964976839</v>
      </c>
      <c r="K207" s="348">
        <f t="shared" si="82"/>
        <v>2.0921844191378076</v>
      </c>
      <c r="L207" s="349">
        <f t="shared" si="83"/>
        <v>1.0724549088651847</v>
      </c>
      <c r="M207" s="337">
        <f t="shared" si="92"/>
        <v>1.0006282425337845</v>
      </c>
      <c r="N207" s="340">
        <f t="shared" si="93"/>
        <v>3.5437658014628351E-2</v>
      </c>
      <c r="O207" s="341">
        <f t="shared" si="94"/>
        <v>0.99996750145438396</v>
      </c>
      <c r="P207" s="342">
        <f t="shared" si="95"/>
        <v>1.4639682851108239E-2</v>
      </c>
      <c r="Q207" s="343">
        <f t="shared" si="96"/>
        <v>15.174617744310391</v>
      </c>
      <c r="R207" s="344">
        <f t="shared" si="97"/>
        <v>-118.14806924377152</v>
      </c>
      <c r="S207" s="346">
        <f t="shared" si="98"/>
        <v>61.851930756228484</v>
      </c>
      <c r="U207" s="319">
        <f t="shared" si="104"/>
        <v>1000000000</v>
      </c>
      <c r="V207" s="319">
        <f t="shared" si="105"/>
        <v>139653306.25</v>
      </c>
      <c r="X207" s="345">
        <f t="shared" si="99"/>
        <v>40.195606105541472</v>
      </c>
      <c r="Y207" s="346">
        <f t="shared" si="100"/>
        <v>-30.54679486103424</v>
      </c>
      <c r="AA207" s="345">
        <f t="shared" si="101"/>
        <v>31.811761796863927</v>
      </c>
      <c r="AB207" s="346">
        <f t="shared" si="102"/>
        <v>-87.60127438273723</v>
      </c>
      <c r="AD207">
        <f t="shared" si="106"/>
        <v>0</v>
      </c>
      <c r="AE207">
        <f t="shared" si="81"/>
        <v>0</v>
      </c>
    </row>
    <row r="208" spans="1:31" x14ac:dyDescent="0.2">
      <c r="A208" s="347">
        <v>11886</v>
      </c>
      <c r="B208" s="364">
        <f t="shared" si="103"/>
        <v>11.885999999999999</v>
      </c>
      <c r="C208" s="337">
        <f t="shared" si="84"/>
        <v>29.385960743517895</v>
      </c>
      <c r="D208" s="338">
        <f t="shared" si="85"/>
        <v>1.5367598998577203</v>
      </c>
      <c r="E208" s="338">
        <f t="shared" si="86"/>
        <v>1.0002509511622524</v>
      </c>
      <c r="F208" s="339">
        <f t="shared" si="87"/>
        <v>2.2400834497115153E-2</v>
      </c>
      <c r="G208" s="338">
        <f t="shared" si="88"/>
        <v>1</v>
      </c>
      <c r="H208" s="339">
        <f t="shared" si="89"/>
        <v>0</v>
      </c>
      <c r="I208" s="337">
        <f t="shared" si="90"/>
        <v>1579.131277505491</v>
      </c>
      <c r="J208" s="340">
        <f t="shared" si="91"/>
        <v>1.5701630671786246</v>
      </c>
      <c r="K208" s="348">
        <f t="shared" si="82"/>
        <v>2.1015473656019572</v>
      </c>
      <c r="L208" s="349">
        <f t="shared" si="83"/>
        <v>1.0748776494874026</v>
      </c>
      <c r="M208" s="337">
        <f t="shared" si="92"/>
        <v>1.0006355445235793</v>
      </c>
      <c r="N208" s="340">
        <f t="shared" si="93"/>
        <v>3.5642898553786412E-2</v>
      </c>
      <c r="O208" s="341">
        <f t="shared" si="94"/>
        <v>0.99996712371606766</v>
      </c>
      <c r="P208" s="342">
        <f t="shared" si="95"/>
        <v>1.4724553279141198E-2</v>
      </c>
      <c r="Q208" s="343">
        <f t="shared" si="96"/>
        <v>15.113020963857789</v>
      </c>
      <c r="R208" s="344">
        <f t="shared" si="97"/>
        <v>-118.02998975034393</v>
      </c>
      <c r="S208" s="346">
        <f t="shared" si="98"/>
        <v>61.97001024965607</v>
      </c>
      <c r="U208" s="319">
        <f t="shared" si="104"/>
        <v>1000000000</v>
      </c>
      <c r="V208" s="319">
        <f t="shared" si="105"/>
        <v>141276996</v>
      </c>
      <c r="X208" s="345">
        <f t="shared" si="99"/>
        <v>40.184124827970663</v>
      </c>
      <c r="Y208" s="346">
        <f t="shared" si="100"/>
        <v>-30.419951779585908</v>
      </c>
      <c r="AA208" s="345">
        <f t="shared" si="101"/>
        <v>31.761646293982132</v>
      </c>
      <c r="AB208" s="346">
        <f t="shared" si="102"/>
        <v>-87.610037970758015</v>
      </c>
      <c r="AD208">
        <f t="shared" si="106"/>
        <v>0</v>
      </c>
      <c r="AE208">
        <f t="shared" si="81"/>
        <v>0</v>
      </c>
    </row>
    <row r="209" spans="1:31" x14ac:dyDescent="0.2">
      <c r="A209" s="347">
        <v>11954.5</v>
      </c>
      <c r="B209" s="364">
        <f t="shared" si="103"/>
        <v>11.954499999999999</v>
      </c>
      <c r="C209" s="337">
        <f t="shared" si="84"/>
        <v>29.555118907462738</v>
      </c>
      <c r="D209" s="338">
        <f t="shared" si="85"/>
        <v>1.5369547813194295</v>
      </c>
      <c r="E209" s="338">
        <f t="shared" si="86"/>
        <v>1.0002538516335877</v>
      </c>
      <c r="F209" s="339">
        <f t="shared" si="87"/>
        <v>2.2529888800194235E-2</v>
      </c>
      <c r="G209" s="338">
        <f t="shared" si="88"/>
        <v>1</v>
      </c>
      <c r="H209" s="339">
        <f t="shared" si="89"/>
        <v>0</v>
      </c>
      <c r="I209" s="337">
        <f t="shared" si="90"/>
        <v>1588.2319378836776</v>
      </c>
      <c r="J209" s="340">
        <f t="shared" si="91"/>
        <v>1.5701666957931393</v>
      </c>
      <c r="K209" s="348">
        <f t="shared" si="82"/>
        <v>2.110922537991383</v>
      </c>
      <c r="L209" s="349">
        <f t="shared" si="83"/>
        <v>1.0772788840199574</v>
      </c>
      <c r="M209" s="337">
        <f t="shared" si="92"/>
        <v>1.0006428886632084</v>
      </c>
      <c r="N209" s="340">
        <f t="shared" si="93"/>
        <v>3.5848136088896192E-2</v>
      </c>
      <c r="O209" s="341">
        <f t="shared" si="94"/>
        <v>0.99996674379703843</v>
      </c>
      <c r="P209" s="342">
        <f t="shared" si="95"/>
        <v>1.480942390966117E-2</v>
      </c>
      <c r="Q209" s="343">
        <f t="shared" si="96"/>
        <v>15.051877855729517</v>
      </c>
      <c r="R209" s="344">
        <f t="shared" si="97"/>
        <v>-117.91301064203071</v>
      </c>
      <c r="S209" s="346">
        <f t="shared" si="98"/>
        <v>62.086989357969287</v>
      </c>
      <c r="U209" s="319">
        <f t="shared" si="104"/>
        <v>1000000000</v>
      </c>
      <c r="V209" s="319">
        <f t="shared" si="105"/>
        <v>142910070.25</v>
      </c>
      <c r="X209" s="345">
        <f t="shared" si="99"/>
        <v>40.17280957039948</v>
      </c>
      <c r="Y209" s="346">
        <f t="shared" si="100"/>
        <v>-30.294338323962545</v>
      </c>
      <c r="AA209" s="345">
        <f t="shared" si="101"/>
        <v>31.711818443425045</v>
      </c>
      <c r="AB209" s="346">
        <f t="shared" si="102"/>
        <v>-87.61867231806815</v>
      </c>
      <c r="AD209">
        <f t="shared" si="106"/>
        <v>0</v>
      </c>
      <c r="AE209">
        <f t="shared" si="81"/>
        <v>0</v>
      </c>
    </row>
    <row r="210" spans="1:31" x14ac:dyDescent="0.2">
      <c r="A210" s="347">
        <v>12023</v>
      </c>
      <c r="B210" s="364">
        <f t="shared" si="103"/>
        <v>12.023</v>
      </c>
      <c r="C210" s="337">
        <f t="shared" si="84"/>
        <v>29.724278181099315</v>
      </c>
      <c r="D210" s="338">
        <f t="shared" si="85"/>
        <v>1.5371474446684843</v>
      </c>
      <c r="E210" s="338">
        <f t="shared" si="86"/>
        <v>1.0002567687640673</v>
      </c>
      <c r="F210" s="339">
        <f t="shared" si="87"/>
        <v>2.2658942352679495E-2</v>
      </c>
      <c r="G210" s="338">
        <f t="shared" si="88"/>
        <v>1</v>
      </c>
      <c r="H210" s="339">
        <f t="shared" si="89"/>
        <v>0</v>
      </c>
      <c r="I210" s="337">
        <f t="shared" si="90"/>
        <v>1597.3325982825381</v>
      </c>
      <c r="J210" s="340">
        <f t="shared" si="91"/>
        <v>1.5701702830602373</v>
      </c>
      <c r="K210" s="348">
        <f t="shared" si="82"/>
        <v>2.1203097741314538</v>
      </c>
      <c r="L210" s="349">
        <f t="shared" si="83"/>
        <v>1.0796588702286731</v>
      </c>
      <c r="M210" s="337">
        <f t="shared" si="92"/>
        <v>1.0006502749517436</v>
      </c>
      <c r="N210" s="340">
        <f t="shared" si="93"/>
        <v>3.6053370602733829E-2</v>
      </c>
      <c r="O210" s="341">
        <f t="shared" si="94"/>
        <v>0.9999663616973401</v>
      </c>
      <c r="P210" s="342">
        <f t="shared" si="95"/>
        <v>1.4894294743834961E-2</v>
      </c>
      <c r="Q210" s="343">
        <f t="shared" si="96"/>
        <v>14.991182043671373</v>
      </c>
      <c r="R210" s="344">
        <f t="shared" si="97"/>
        <v>-117.79711939703857</v>
      </c>
      <c r="S210" s="346">
        <f t="shared" si="98"/>
        <v>62.202880602961429</v>
      </c>
      <c r="U210" s="319">
        <f t="shared" si="104"/>
        <v>1000000000</v>
      </c>
      <c r="V210" s="319">
        <f t="shared" si="105"/>
        <v>144552529</v>
      </c>
      <c r="X210" s="345">
        <f t="shared" si="99"/>
        <v>40.161657230554589</v>
      </c>
      <c r="Y210" s="346">
        <f t="shared" si="100"/>
        <v>-30.169939765479658</v>
      </c>
      <c r="AA210" s="345">
        <f t="shared" si="101"/>
        <v>31.66227497121179</v>
      </c>
      <c r="AB210" s="346">
        <f t="shared" si="102"/>
        <v>-87.627179631558889</v>
      </c>
      <c r="AD210">
        <f t="shared" si="106"/>
        <v>0</v>
      </c>
      <c r="AE210">
        <f t="shared" si="81"/>
        <v>0</v>
      </c>
    </row>
    <row r="211" spans="1:31" x14ac:dyDescent="0.2">
      <c r="A211" s="347">
        <v>12093</v>
      </c>
      <c r="B211" s="364">
        <f t="shared" si="103"/>
        <v>12.093</v>
      </c>
      <c r="C211" s="337">
        <f t="shared" si="84"/>
        <v>29.897142799212983</v>
      </c>
      <c r="D211" s="338">
        <f t="shared" si="85"/>
        <v>1.5373420745862187</v>
      </c>
      <c r="E211" s="338">
        <f t="shared" si="86"/>
        <v>1.0002597669835014</v>
      </c>
      <c r="F211" s="339">
        <f t="shared" si="87"/>
        <v>2.2790821115470317E-2</v>
      </c>
      <c r="G211" s="338">
        <f t="shared" si="88"/>
        <v>1</v>
      </c>
      <c r="H211" s="339">
        <f t="shared" si="89"/>
        <v>0</v>
      </c>
      <c r="I211" s="337">
        <f t="shared" si="90"/>
        <v>1606.6325432366721</v>
      </c>
      <c r="J211" s="340">
        <f t="shared" si="91"/>
        <v>1.5701739068963472</v>
      </c>
      <c r="K211" s="348">
        <f t="shared" si="82"/>
        <v>2.1299148670963506</v>
      </c>
      <c r="L211" s="349">
        <f t="shared" si="83"/>
        <v>1.082069286061581</v>
      </c>
      <c r="M211" s="337">
        <f t="shared" si="92"/>
        <v>1.0006578665263168</v>
      </c>
      <c r="N211" s="340">
        <f t="shared" si="93"/>
        <v>3.6263096163848436E-2</v>
      </c>
      <c r="O211" s="341">
        <f t="shared" si="94"/>
        <v>0.99996596897772061</v>
      </c>
      <c r="P211" s="342">
        <f t="shared" si="95"/>
        <v>1.4981024275034831E-2</v>
      </c>
      <c r="Q211" s="343">
        <f t="shared" si="96"/>
        <v>14.929612717232759</v>
      </c>
      <c r="R211" s="344">
        <f t="shared" si="97"/>
        <v>-117.6798013752647</v>
      </c>
      <c r="S211" s="346">
        <f t="shared" si="98"/>
        <v>62.320198624735298</v>
      </c>
      <c r="U211" s="319">
        <f t="shared" si="104"/>
        <v>1000000000</v>
      </c>
      <c r="V211" s="319">
        <f t="shared" si="105"/>
        <v>146240649</v>
      </c>
      <c r="X211" s="345">
        <f t="shared" si="99"/>
        <v>40.150425831340264</v>
      </c>
      <c r="Y211" s="346">
        <f t="shared" si="100"/>
        <v>-30.044057131261305</v>
      </c>
      <c r="AA211" s="345">
        <f t="shared" si="101"/>
        <v>31.611937043987496</v>
      </c>
      <c r="AB211" s="346">
        <f t="shared" si="102"/>
        <v>-87.635744244003419</v>
      </c>
      <c r="AD211">
        <f t="shared" si="106"/>
        <v>0</v>
      </c>
      <c r="AE211">
        <f t="shared" si="81"/>
        <v>0</v>
      </c>
    </row>
    <row r="212" spans="1:31" x14ac:dyDescent="0.2">
      <c r="A212" s="347">
        <v>12163</v>
      </c>
      <c r="B212" s="364">
        <f t="shared" si="103"/>
        <v>12.163</v>
      </c>
      <c r="C212" s="337">
        <f t="shared" si="84"/>
        <v>30.070008536833242</v>
      </c>
      <c r="D212" s="338">
        <f t="shared" si="85"/>
        <v>1.5375344667436464</v>
      </c>
      <c r="E212" s="338">
        <f t="shared" si="86"/>
        <v>1.0002627825993569</v>
      </c>
      <c r="F212" s="339">
        <f t="shared" si="87"/>
        <v>2.2922699085372339E-2</v>
      </c>
      <c r="G212" s="338">
        <f t="shared" si="88"/>
        <v>1</v>
      </c>
      <c r="H212" s="339">
        <f t="shared" si="89"/>
        <v>0</v>
      </c>
      <c r="I212" s="337">
        <f t="shared" si="90"/>
        <v>1615.9324882116618</v>
      </c>
      <c r="J212" s="340">
        <f t="shared" si="91"/>
        <v>1.5701774890209663</v>
      </c>
      <c r="K212" s="348">
        <f t="shared" si="82"/>
        <v>2.1395322239359738</v>
      </c>
      <c r="L212" s="349">
        <f t="shared" si="83"/>
        <v>1.0844580456719899</v>
      </c>
      <c r="M212" s="337">
        <f t="shared" si="92"/>
        <v>1.0006655021139681</v>
      </c>
      <c r="N212" s="340">
        <f t="shared" si="93"/>
        <v>3.6472818533561727E-2</v>
      </c>
      <c r="O212" s="341">
        <f t="shared" si="94"/>
        <v>0.99996557398097508</v>
      </c>
      <c r="P212" s="342">
        <f t="shared" si="95"/>
        <v>1.5067754021368923E-2</v>
      </c>
      <c r="Q212" s="343">
        <f t="shared" si="96"/>
        <v>14.868497423959344</v>
      </c>
      <c r="R212" s="344">
        <f t="shared" si="97"/>
        <v>-117.56359343442966</v>
      </c>
      <c r="S212" s="346">
        <f t="shared" si="98"/>
        <v>62.436406565570337</v>
      </c>
      <c r="U212" s="319">
        <f t="shared" si="104"/>
        <v>1000000000</v>
      </c>
      <c r="V212" s="319">
        <f t="shared" si="105"/>
        <v>147938569</v>
      </c>
      <c r="X212" s="345">
        <f t="shared" si="99"/>
        <v>40.139358232741003</v>
      </c>
      <c r="Y212" s="346">
        <f t="shared" si="100"/>
        <v>-29.919412734447555</v>
      </c>
      <c r="AA212" s="345">
        <f t="shared" si="101"/>
        <v>31.561889349313343</v>
      </c>
      <c r="AB212" s="346">
        <f t="shared" si="102"/>
        <v>-87.644180699982115</v>
      </c>
      <c r="AD212">
        <f t="shared" si="106"/>
        <v>0</v>
      </c>
      <c r="AE212">
        <f t="shared" si="81"/>
        <v>0</v>
      </c>
    </row>
    <row r="213" spans="1:31" x14ac:dyDescent="0.2">
      <c r="A213" s="347">
        <v>12233</v>
      </c>
      <c r="B213" s="364">
        <f t="shared" si="103"/>
        <v>12.233000000000001</v>
      </c>
      <c r="C213" s="337">
        <f t="shared" si="84"/>
        <v>30.242875374763084</v>
      </c>
      <c r="D213" s="338">
        <f t="shared" si="85"/>
        <v>1.5377246594991956</v>
      </c>
      <c r="E213" s="338">
        <f t="shared" si="86"/>
        <v>1.0002658156114765</v>
      </c>
      <c r="F213" s="339">
        <f t="shared" si="87"/>
        <v>2.3054576257805555E-2</v>
      </c>
      <c r="G213" s="338">
        <f t="shared" si="88"/>
        <v>1</v>
      </c>
      <c r="H213" s="339">
        <f t="shared" si="89"/>
        <v>0</v>
      </c>
      <c r="I213" s="337">
        <f t="shared" si="90"/>
        <v>1625.2324332071494</v>
      </c>
      <c r="J213" s="340">
        <f t="shared" si="91"/>
        <v>1.5701810301501422</v>
      </c>
      <c r="K213" s="348">
        <f t="shared" si="82"/>
        <v>2.1491616800102356</v>
      </c>
      <c r="L213" s="349">
        <f t="shared" si="83"/>
        <v>1.086825412710577</v>
      </c>
      <c r="M213" s="337">
        <f t="shared" si="92"/>
        <v>1.0006731817136902</v>
      </c>
      <c r="N213" s="340">
        <f t="shared" si="93"/>
        <v>3.6682537693498357E-2</v>
      </c>
      <c r="O213" s="341">
        <f t="shared" si="94"/>
        <v>0.99996517670715068</v>
      </c>
      <c r="P213" s="342">
        <f t="shared" si="95"/>
        <v>1.515448398408238E-2</v>
      </c>
      <c r="Q213" s="343">
        <f t="shared" si="96"/>
        <v>14.807829754116069</v>
      </c>
      <c r="R213" s="344">
        <f t="shared" si="97"/>
        <v>-117.44848270654582</v>
      </c>
      <c r="S213" s="346">
        <f t="shared" si="98"/>
        <v>62.551517293454182</v>
      </c>
      <c r="U213" s="319">
        <f t="shared" si="104"/>
        <v>1000000000</v>
      </c>
      <c r="V213" s="319">
        <f t="shared" si="105"/>
        <v>149646289</v>
      </c>
      <c r="X213" s="345">
        <f t="shared" si="99"/>
        <v>40.128451343121441</v>
      </c>
      <c r="Y213" s="346">
        <f t="shared" si="100"/>
        <v>-29.79599150894099</v>
      </c>
      <c r="AA213" s="345">
        <f t="shared" si="101"/>
        <v>31.512128569089629</v>
      </c>
      <c r="AB213" s="346">
        <f t="shared" si="102"/>
        <v>-87.652491197604817</v>
      </c>
      <c r="AD213">
        <f t="shared" si="106"/>
        <v>0</v>
      </c>
      <c r="AE213">
        <f t="shared" si="81"/>
        <v>0</v>
      </c>
    </row>
    <row r="214" spans="1:31" x14ac:dyDescent="0.2">
      <c r="A214" s="347">
        <v>12303</v>
      </c>
      <c r="B214" s="364">
        <f t="shared" si="103"/>
        <v>12.303000000000001</v>
      </c>
      <c r="C214" s="337">
        <f t="shared" si="84"/>
        <v>30.415743294241786</v>
      </c>
      <c r="D214" s="338">
        <f t="shared" si="85"/>
        <v>1.5379126903398987</v>
      </c>
      <c r="E214" s="338">
        <f t="shared" si="86"/>
        <v>1.0002688660197021</v>
      </c>
      <c r="F214" s="339">
        <f t="shared" si="87"/>
        <v>2.3186452628190135E-2</v>
      </c>
      <c r="G214" s="338">
        <f t="shared" si="88"/>
        <v>1</v>
      </c>
      <c r="H214" s="339">
        <f t="shared" si="89"/>
        <v>0</v>
      </c>
      <c r="I214" s="337">
        <f t="shared" si="90"/>
        <v>1634.5323782227847</v>
      </c>
      <c r="J214" s="340">
        <f t="shared" si="91"/>
        <v>1.5701845309836264</v>
      </c>
      <c r="K214" s="348">
        <f t="shared" si="82"/>
        <v>2.1588030734113026</v>
      </c>
      <c r="L214" s="349">
        <f t="shared" si="83"/>
        <v>1.0891716470861137</v>
      </c>
      <c r="M214" s="337">
        <f t="shared" si="92"/>
        <v>1.0006809053244696</v>
      </c>
      <c r="N214" s="340">
        <f t="shared" si="93"/>
        <v>3.6892253625284636E-2</v>
      </c>
      <c r="O214" s="341">
        <f t="shared" si="94"/>
        <v>0.99996477715629495</v>
      </c>
      <c r="P214" s="342">
        <f t="shared" si="95"/>
        <v>1.5241214164420336E-2</v>
      </c>
      <c r="Q214" s="343">
        <f t="shared" si="96"/>
        <v>14.747603424476317</v>
      </c>
      <c r="R214" s="344">
        <f t="shared" si="97"/>
        <v>-117.33445648716001</v>
      </c>
      <c r="S214" s="346">
        <f t="shared" si="98"/>
        <v>62.665543512839989</v>
      </c>
      <c r="U214" s="319">
        <f t="shared" si="104"/>
        <v>1000000000</v>
      </c>
      <c r="V214" s="319">
        <f t="shared" si="105"/>
        <v>151363809</v>
      </c>
      <c r="X214" s="345">
        <f t="shared" si="99"/>
        <v>40.117702140805569</v>
      </c>
      <c r="Y214" s="346">
        <f t="shared" si="100"/>
        <v>-29.673778602106012</v>
      </c>
      <c r="AA214" s="345">
        <f t="shared" si="101"/>
        <v>31.462651441765757</v>
      </c>
      <c r="AB214" s="346">
        <f t="shared" si="102"/>
        <v>-87.660677885053985</v>
      </c>
      <c r="AD214">
        <f t="shared" si="106"/>
        <v>0</v>
      </c>
      <c r="AE214">
        <f t="shared" si="81"/>
        <v>0</v>
      </c>
    </row>
    <row r="215" spans="1:31" x14ac:dyDescent="0.2">
      <c r="A215" s="347">
        <v>12374.5</v>
      </c>
      <c r="B215" s="364">
        <f t="shared" si="103"/>
        <v>12.374499999999999</v>
      </c>
      <c r="C215" s="337">
        <f t="shared" si="84"/>
        <v>30.592316623778746</v>
      </c>
      <c r="D215" s="338">
        <f t="shared" si="85"/>
        <v>1.538102556603524</v>
      </c>
      <c r="E215" s="338">
        <f t="shared" si="86"/>
        <v>1.0002719997529133</v>
      </c>
      <c r="F215" s="339">
        <f t="shared" si="87"/>
        <v>2.3321154088022641E-2</v>
      </c>
      <c r="G215" s="338">
        <f t="shared" si="88"/>
        <v>1</v>
      </c>
      <c r="H215" s="339">
        <f t="shared" si="89"/>
        <v>0</v>
      </c>
      <c r="I215" s="337">
        <f t="shared" si="90"/>
        <v>1644.031607794914</v>
      </c>
      <c r="J215" s="340">
        <f t="shared" si="91"/>
        <v>1.5701880659458216</v>
      </c>
      <c r="K215" s="348">
        <f t="shared" ref="K215:K278" si="107">SQRT(1+(A215/Zero2)^2)</f>
        <v>2.1686632263255374</v>
      </c>
      <c r="L215" s="349">
        <f t="shared" ref="L215:L278" si="108">ATAN(A215/Zero2)</f>
        <v>1.0915466075169518</v>
      </c>
      <c r="M215" s="337">
        <f t="shared" si="92"/>
        <v>1.0006888398759377</v>
      </c>
      <c r="N215" s="340">
        <f t="shared" si="93"/>
        <v>3.7106460118139228E-2</v>
      </c>
      <c r="O215" s="341">
        <f t="shared" si="94"/>
        <v>0.99996436669294042</v>
      </c>
      <c r="P215" s="342">
        <f t="shared" si="95"/>
        <v>1.5329803074586834E-2</v>
      </c>
      <c r="Q215" s="343">
        <f t="shared" si="96"/>
        <v>14.686535754116317</v>
      </c>
      <c r="R215" s="344">
        <f t="shared" si="97"/>
        <v>-117.21909342532916</v>
      </c>
      <c r="S215" s="346">
        <f t="shared" si="98"/>
        <v>62.780906574670837</v>
      </c>
      <c r="U215" s="319">
        <f t="shared" si="104"/>
        <v>1000000000</v>
      </c>
      <c r="V215" s="319">
        <f t="shared" si="105"/>
        <v>153128250.25</v>
      </c>
      <c r="X215" s="345">
        <f t="shared" si="99"/>
        <v>40.106882319901516</v>
      </c>
      <c r="Y215" s="346">
        <f t="shared" si="100"/>
        <v>-29.550179059166574</v>
      </c>
      <c r="AA215" s="345">
        <f t="shared" si="101"/>
        <v>31.412403592309804</v>
      </c>
      <c r="AB215" s="346">
        <f t="shared" si="102"/>
        <v>-87.668914366162596</v>
      </c>
      <c r="AD215">
        <f t="shared" si="106"/>
        <v>0</v>
      </c>
      <c r="AE215">
        <f t="shared" si="81"/>
        <v>0</v>
      </c>
    </row>
    <row r="216" spans="1:31" x14ac:dyDescent="0.2">
      <c r="A216" s="347">
        <v>12446</v>
      </c>
      <c r="B216" s="364">
        <f t="shared" si="103"/>
        <v>12.446</v>
      </c>
      <c r="C216" s="337">
        <f t="shared" si="84"/>
        <v>30.768891043486565</v>
      </c>
      <c r="D216" s="338">
        <f t="shared" si="85"/>
        <v>1.5382902436906443</v>
      </c>
      <c r="E216" s="338">
        <f t="shared" si="86"/>
        <v>1.0002751516354289</v>
      </c>
      <c r="F216" s="339">
        <f t="shared" si="87"/>
        <v>2.3455854701406428E-2</v>
      </c>
      <c r="G216" s="338">
        <f t="shared" si="88"/>
        <v>1</v>
      </c>
      <c r="H216" s="339">
        <f t="shared" si="89"/>
        <v>0</v>
      </c>
      <c r="I216" s="337">
        <f t="shared" si="90"/>
        <v>1653.5308373873506</v>
      </c>
      <c r="J216" s="340">
        <f t="shared" si="91"/>
        <v>1.5701915602926055</v>
      </c>
      <c r="K216" s="348">
        <f t="shared" si="107"/>
        <v>2.1785355006810554</v>
      </c>
      <c r="L216" s="349">
        <f t="shared" si="108"/>
        <v>1.0939000563309842</v>
      </c>
      <c r="M216" s="337">
        <f t="shared" si="92"/>
        <v>1.0006968203427049</v>
      </c>
      <c r="N216" s="340">
        <f t="shared" si="93"/>
        <v>3.7320663204267412E-2</v>
      </c>
      <c r="O216" s="341">
        <f t="shared" si="94"/>
        <v>0.99996395385402315</v>
      </c>
      <c r="P216" s="342">
        <f t="shared" si="95"/>
        <v>1.5418392214430499E-2</v>
      </c>
      <c r="Q216" s="343">
        <f t="shared" si="96"/>
        <v>14.625915680284912</v>
      </c>
      <c r="R216" s="344">
        <f t="shared" si="97"/>
        <v>-117.10483557011131</v>
      </c>
      <c r="S216" s="346">
        <f t="shared" si="98"/>
        <v>62.895164429888695</v>
      </c>
      <c r="U216" s="319">
        <f t="shared" si="104"/>
        <v>1000000000</v>
      </c>
      <c r="V216" s="319">
        <f t="shared" si="105"/>
        <v>154902916</v>
      </c>
      <c r="X216" s="345">
        <f t="shared" si="99"/>
        <v>40.096220859443605</v>
      </c>
      <c r="Y216" s="346">
        <f t="shared" si="100"/>
        <v>-29.427809518799307</v>
      </c>
      <c r="AA216" s="345">
        <f t="shared" si="101"/>
        <v>31.362444978936317</v>
      </c>
      <c r="AB216" s="346">
        <f t="shared" si="102"/>
        <v>-87.677026051311984</v>
      </c>
      <c r="AD216">
        <f t="shared" si="106"/>
        <v>0</v>
      </c>
      <c r="AE216">
        <f t="shared" si="81"/>
        <v>0</v>
      </c>
    </row>
    <row r="217" spans="1:31" x14ac:dyDescent="0.2">
      <c r="A217" s="347">
        <v>12517.5</v>
      </c>
      <c r="B217" s="364">
        <f t="shared" si="103"/>
        <v>12.5175</v>
      </c>
      <c r="C217" s="337">
        <f t="shared" si="84"/>
        <v>30.945466534703748</v>
      </c>
      <c r="D217" s="338">
        <f t="shared" si="85"/>
        <v>1.5384757888912044</v>
      </c>
      <c r="E217" s="338">
        <f t="shared" si="86"/>
        <v>1.0002783216670779</v>
      </c>
      <c r="F217" s="339">
        <f t="shared" si="87"/>
        <v>2.3590554463461439E-2</v>
      </c>
      <c r="G217" s="338">
        <f t="shared" si="88"/>
        <v>1</v>
      </c>
      <c r="H217" s="339">
        <f t="shared" si="89"/>
        <v>0</v>
      </c>
      <c r="I217" s="337">
        <f t="shared" si="90"/>
        <v>1663.0300669997473</v>
      </c>
      <c r="J217" s="340">
        <f t="shared" si="91"/>
        <v>1.5701950147199641</v>
      </c>
      <c r="K217" s="348">
        <f t="shared" si="107"/>
        <v>2.1884197324331978</v>
      </c>
      <c r="L217" s="349">
        <f t="shared" si="108"/>
        <v>1.0962322587589313</v>
      </c>
      <c r="M217" s="337">
        <f t="shared" si="92"/>
        <v>1.000704846723673</v>
      </c>
      <c r="N217" s="340">
        <f t="shared" si="93"/>
        <v>3.7534862864094375E-2</v>
      </c>
      <c r="O217" s="341">
        <f t="shared" si="94"/>
        <v>0.99996353863959409</v>
      </c>
      <c r="P217" s="342">
        <f t="shared" si="95"/>
        <v>1.5506981585278225E-2</v>
      </c>
      <c r="Q217" s="343">
        <f t="shared" si="96"/>
        <v>14.565736896051407</v>
      </c>
      <c r="R217" s="344">
        <f t="shared" si="97"/>
        <v>-116.99166990057311</v>
      </c>
      <c r="S217" s="346">
        <f t="shared" si="98"/>
        <v>63.008330099426885</v>
      </c>
      <c r="U217" s="319">
        <f t="shared" si="104"/>
        <v>1000000000</v>
      </c>
      <c r="V217" s="319">
        <f t="shared" si="105"/>
        <v>156687806.25</v>
      </c>
      <c r="X217" s="345">
        <f t="shared" si="99"/>
        <v>40.085714753687256</v>
      </c>
      <c r="Y217" s="346">
        <f t="shared" si="100"/>
        <v>-29.306654823158848</v>
      </c>
      <c r="AA217" s="345">
        <f t="shared" si="101"/>
        <v>31.312772300459155</v>
      </c>
      <c r="AB217" s="346">
        <f t="shared" si="102"/>
        <v>-87.685015077414249</v>
      </c>
      <c r="AD217">
        <f t="shared" si="106"/>
        <v>0</v>
      </c>
      <c r="AE217">
        <f t="shared" si="81"/>
        <v>0</v>
      </c>
    </row>
    <row r="218" spans="1:31" x14ac:dyDescent="0.2">
      <c r="A218" s="347">
        <v>12589</v>
      </c>
      <c r="B218" s="364">
        <f t="shared" si="103"/>
        <v>12.589</v>
      </c>
      <c r="C218" s="337">
        <f t="shared" si="84"/>
        <v>31.122043079192188</v>
      </c>
      <c r="D218" s="338">
        <f t="shared" si="85"/>
        <v>1.5386592286494623</v>
      </c>
      <c r="E218" s="338">
        <f t="shared" si="86"/>
        <v>1.0002815098476872</v>
      </c>
      <c r="F218" s="339">
        <f t="shared" si="87"/>
        <v>2.3725253369307794E-2</v>
      </c>
      <c r="G218" s="338">
        <f t="shared" si="88"/>
        <v>1</v>
      </c>
      <c r="H218" s="339">
        <f t="shared" si="89"/>
        <v>0</v>
      </c>
      <c r="I218" s="337">
        <f t="shared" si="90"/>
        <v>1672.5292966317638</v>
      </c>
      <c r="J218" s="340">
        <f t="shared" si="91"/>
        <v>1.5701984299080713</v>
      </c>
      <c r="K218" s="348">
        <f t="shared" si="107"/>
        <v>2.1983157602907477</v>
      </c>
      <c r="L218" s="349">
        <f t="shared" si="108"/>
        <v>1.098543476188802</v>
      </c>
      <c r="M218" s="337">
        <f t="shared" si="92"/>
        <v>1.0007129190177371</v>
      </c>
      <c r="N218" s="340">
        <f t="shared" si="93"/>
        <v>3.7749059078047195E-2</v>
      </c>
      <c r="O218" s="341">
        <f t="shared" si="94"/>
        <v>0.99996312104970564</v>
      </c>
      <c r="P218" s="342">
        <f t="shared" si="95"/>
        <v>1.5595571188456909E-2</v>
      </c>
      <c r="Q218" s="343">
        <f t="shared" si="96"/>
        <v>14.505993219115688</v>
      </c>
      <c r="R218" s="344">
        <f t="shared" si="97"/>
        <v>-116.87958356659222</v>
      </c>
      <c r="S218" s="346">
        <f t="shared" si="98"/>
        <v>63.120416433407783</v>
      </c>
      <c r="U218" s="319">
        <f t="shared" si="104"/>
        <v>1000000000</v>
      </c>
      <c r="V218" s="319">
        <f t="shared" si="105"/>
        <v>158482921</v>
      </c>
      <c r="X218" s="345">
        <f t="shared" si="99"/>
        <v>40.075361065346755</v>
      </c>
      <c r="Y218" s="346">
        <f t="shared" si="100"/>
        <v>-29.186700033665076</v>
      </c>
      <c r="AA218" s="345">
        <f t="shared" si="101"/>
        <v>31.263382311863943</v>
      </c>
      <c r="AB218" s="346">
        <f t="shared" si="102"/>
        <v>-87.692883532927169</v>
      </c>
      <c r="AD218">
        <f t="shared" si="106"/>
        <v>0</v>
      </c>
      <c r="AE218">
        <f t="shared" ref="AE218:AE281" si="109">IF(AD218&gt;0,S218,0)</f>
        <v>0</v>
      </c>
    </row>
    <row r="219" spans="1:31" x14ac:dyDescent="0.2">
      <c r="A219" s="347">
        <v>12662.25</v>
      </c>
      <c r="B219" s="364">
        <f t="shared" si="103"/>
        <v>12.66225</v>
      </c>
      <c r="C219" s="337">
        <f t="shared" si="84"/>
        <v>31.302942500838164</v>
      </c>
      <c r="D219" s="338">
        <f t="shared" si="85"/>
        <v>1.5388450120585004</v>
      </c>
      <c r="E219" s="338">
        <f t="shared" si="86"/>
        <v>1.0002847948812124</v>
      </c>
      <c r="F219" s="339">
        <f t="shared" si="87"/>
        <v>2.3863248208520097E-2</v>
      </c>
      <c r="G219" s="338">
        <f t="shared" si="88"/>
        <v>1</v>
      </c>
      <c r="H219" s="339">
        <f t="shared" si="89"/>
        <v>0</v>
      </c>
      <c r="I219" s="337">
        <f t="shared" si="90"/>
        <v>1682.2610249111356</v>
      </c>
      <c r="J219" s="340">
        <f t="shared" si="91"/>
        <v>1.5702018886880365</v>
      </c>
      <c r="K219" s="348">
        <f t="shared" si="107"/>
        <v>2.2084660655474204</v>
      </c>
      <c r="L219" s="349">
        <f t="shared" si="108"/>
        <v>1.1008897694577466</v>
      </c>
      <c r="M219" s="337">
        <f t="shared" si="92"/>
        <v>1.0007212364967391</v>
      </c>
      <c r="N219" s="340">
        <f t="shared" si="93"/>
        <v>3.7968494262800585E-2</v>
      </c>
      <c r="O219" s="341">
        <f t="shared" si="94"/>
        <v>0.99996269077575783</v>
      </c>
      <c r="P219" s="342">
        <f t="shared" si="95"/>
        <v>1.5686329310953886E-2</v>
      </c>
      <c r="Q219" s="343">
        <f t="shared" si="96"/>
        <v>14.445232160618449</v>
      </c>
      <c r="R219" s="344">
        <f t="shared" si="97"/>
        <v>-116.76585988884473</v>
      </c>
      <c r="S219" s="346">
        <f t="shared" si="98"/>
        <v>63.23414011115527</v>
      </c>
      <c r="U219" s="319">
        <f t="shared" si="104"/>
        <v>1000000000</v>
      </c>
      <c r="V219" s="319">
        <f t="shared" si="105"/>
        <v>160332575.0625</v>
      </c>
      <c r="X219" s="345">
        <f t="shared" si="99"/>
        <v>40.064909023118275</v>
      </c>
      <c r="Y219" s="346">
        <f t="shared" si="100"/>
        <v>-29.065038215172894</v>
      </c>
      <c r="AA219" s="345">
        <f t="shared" si="101"/>
        <v>31.21307329559518</v>
      </c>
      <c r="AB219" s="346">
        <f t="shared" si="102"/>
        <v>-87.700821673671825</v>
      </c>
      <c r="AD219">
        <f t="shared" si="106"/>
        <v>0</v>
      </c>
      <c r="AE219">
        <f t="shared" si="109"/>
        <v>0</v>
      </c>
    </row>
    <row r="220" spans="1:31" x14ac:dyDescent="0.2">
      <c r="A220" s="347">
        <v>12735.5</v>
      </c>
      <c r="B220" s="364">
        <f t="shared" si="103"/>
        <v>12.7355</v>
      </c>
      <c r="C220" s="337">
        <f t="shared" si="84"/>
        <v>31.48384299050414</v>
      </c>
      <c r="D220" s="338">
        <f t="shared" si="85"/>
        <v>1.5390286605178218</v>
      </c>
      <c r="E220" s="338">
        <f t="shared" si="86"/>
        <v>1.0002880989626111</v>
      </c>
      <c r="F220" s="339">
        <f t="shared" si="87"/>
        <v>2.4001242138730422E-2</v>
      </c>
      <c r="G220" s="338">
        <f t="shared" si="88"/>
        <v>1</v>
      </c>
      <c r="H220" s="339">
        <f t="shared" si="89"/>
        <v>0</v>
      </c>
      <c r="I220" s="337">
        <f t="shared" si="90"/>
        <v>1691.9927532104007</v>
      </c>
      <c r="J220" s="340">
        <f t="shared" si="91"/>
        <v>1.5702053076807072</v>
      </c>
      <c r="K220" s="348">
        <f t="shared" si="107"/>
        <v>2.2186284173295245</v>
      </c>
      <c r="L220" s="349">
        <f t="shared" si="108"/>
        <v>1.1032145811949616</v>
      </c>
      <c r="M220" s="337">
        <f t="shared" si="92"/>
        <v>1.000729602161468</v>
      </c>
      <c r="N220" s="340">
        <f t="shared" si="93"/>
        <v>3.8187925789354218E-2</v>
      </c>
      <c r="O220" s="341">
        <f t="shared" si="94"/>
        <v>0.99996225800875715</v>
      </c>
      <c r="P220" s="342">
        <f t="shared" si="95"/>
        <v>1.5777087680113201E-2</v>
      </c>
      <c r="Q220" s="343">
        <f t="shared" si="96"/>
        <v>14.384915020784765</v>
      </c>
      <c r="R220" s="344">
        <f t="shared" si="97"/>
        <v>-116.65324226556704</v>
      </c>
      <c r="S220" s="346">
        <f t="shared" si="98"/>
        <v>63.346757734432956</v>
      </c>
      <c r="U220" s="319">
        <f t="shared" si="104"/>
        <v>1000000000</v>
      </c>
      <c r="V220" s="319">
        <f t="shared" si="105"/>
        <v>162192960.25</v>
      </c>
      <c r="X220" s="345">
        <f t="shared" si="99"/>
        <v>40.054610922028473</v>
      </c>
      <c r="Y220" s="346">
        <f t="shared" si="100"/>
        <v>-28.944604708544233</v>
      </c>
      <c r="AA220" s="345">
        <f t="shared" si="101"/>
        <v>31.163054256851289</v>
      </c>
      <c r="AB220" s="346">
        <f t="shared" si="102"/>
        <v>-87.708637557022797</v>
      </c>
      <c r="AD220">
        <f t="shared" si="106"/>
        <v>0</v>
      </c>
      <c r="AE220">
        <f t="shared" si="109"/>
        <v>0</v>
      </c>
    </row>
    <row r="221" spans="1:31" x14ac:dyDescent="0.2">
      <c r="A221" s="347">
        <v>12808.75</v>
      </c>
      <c r="B221" s="364">
        <f t="shared" si="103"/>
        <v>12.80875</v>
      </c>
      <c r="C221" s="337">
        <f t="shared" si="84"/>
        <v>31.664744529885343</v>
      </c>
      <c r="D221" s="338">
        <f t="shared" si="85"/>
        <v>1.5392102106060075</v>
      </c>
      <c r="E221" s="338">
        <f t="shared" si="86"/>
        <v>1.0002914220916945</v>
      </c>
      <c r="F221" s="339">
        <f t="shared" si="87"/>
        <v>2.4139235154692348E-2</v>
      </c>
      <c r="G221" s="338">
        <f t="shared" si="88"/>
        <v>1</v>
      </c>
      <c r="H221" s="339">
        <f t="shared" si="89"/>
        <v>0</v>
      </c>
      <c r="I221" s="337">
        <f t="shared" si="90"/>
        <v>1701.7244815292183</v>
      </c>
      <c r="J221" s="340">
        <f t="shared" si="91"/>
        <v>1.5702086875686838</v>
      </c>
      <c r="K221" s="348">
        <f t="shared" si="107"/>
        <v>2.2288026508566232</v>
      </c>
      <c r="L221" s="349">
        <f t="shared" si="108"/>
        <v>1.1055181802796259</v>
      </c>
      <c r="M221" s="337">
        <f t="shared" si="92"/>
        <v>1.0007380160107153</v>
      </c>
      <c r="N221" s="340">
        <f t="shared" si="93"/>
        <v>3.8407353636668758E-2</v>
      </c>
      <c r="O221" s="341">
        <f t="shared" si="94"/>
        <v>0.99996182274876011</v>
      </c>
      <c r="P221" s="342">
        <f t="shared" si="95"/>
        <v>1.5867846297361585E-2</v>
      </c>
      <c r="Q221" s="343">
        <f t="shared" si="96"/>
        <v>14.325035539266844</v>
      </c>
      <c r="R221" s="344">
        <f t="shared" si="97"/>
        <v>-116.54171742520235</v>
      </c>
      <c r="S221" s="346">
        <f t="shared" si="98"/>
        <v>63.45828257479765</v>
      </c>
      <c r="U221" s="319">
        <f t="shared" si="104"/>
        <v>1000000000</v>
      </c>
      <c r="V221" s="319">
        <f t="shared" si="105"/>
        <v>164064076.5625</v>
      </c>
      <c r="X221" s="345">
        <f t="shared" si="99"/>
        <v>40.0444638156753</v>
      </c>
      <c r="Y221" s="346">
        <f t="shared" si="100"/>
        <v>-28.825384146041589</v>
      </c>
      <c r="AA221" s="345">
        <f t="shared" si="101"/>
        <v>31.113321881686545</v>
      </c>
      <c r="AB221" s="346">
        <f t="shared" si="102"/>
        <v>-87.71633327916075</v>
      </c>
      <c r="AD221">
        <f t="shared" si="106"/>
        <v>0</v>
      </c>
      <c r="AE221">
        <f t="shared" si="109"/>
        <v>0</v>
      </c>
    </row>
    <row r="222" spans="1:31" x14ac:dyDescent="0.2">
      <c r="A222" s="347">
        <v>12882</v>
      </c>
      <c r="B222" s="364">
        <f t="shared" si="103"/>
        <v>12.882</v>
      </c>
      <c r="C222" s="337">
        <f t="shared" si="84"/>
        <v>31.845647101092823</v>
      </c>
      <c r="D222" s="338">
        <f t="shared" si="85"/>
        <v>1.5393896980710444</v>
      </c>
      <c r="E222" s="338">
        <f t="shared" si="86"/>
        <v>1.0002947642682729</v>
      </c>
      <c r="F222" s="339">
        <f t="shared" si="87"/>
        <v>2.4277227251159675E-2</v>
      </c>
      <c r="G222" s="338">
        <f t="shared" si="88"/>
        <v>1</v>
      </c>
      <c r="H222" s="339">
        <f t="shared" si="89"/>
        <v>0</v>
      </c>
      <c r="I222" s="337">
        <f t="shared" si="90"/>
        <v>1711.456209867255</v>
      </c>
      <c r="J222" s="340">
        <f t="shared" si="91"/>
        <v>1.5702120290190404</v>
      </c>
      <c r="K222" s="348">
        <f t="shared" si="107"/>
        <v>2.2389886041524867</v>
      </c>
      <c r="L222" s="349">
        <f t="shared" si="108"/>
        <v>1.1078008316071304</v>
      </c>
      <c r="M222" s="337">
        <f t="shared" si="92"/>
        <v>1.0007464780432653</v>
      </c>
      <c r="N222" s="340">
        <f t="shared" si="93"/>
        <v>3.8626777783707003E-2</v>
      </c>
      <c r="O222" s="341">
        <f t="shared" si="94"/>
        <v>0.9999613849958241</v>
      </c>
      <c r="P222" s="342">
        <f t="shared" si="95"/>
        <v>1.5958605164125741E-2</v>
      </c>
      <c r="Q222" s="343">
        <f t="shared" si="96"/>
        <v>14.26558757991161</v>
      </c>
      <c r="R222" s="344">
        <f t="shared" si="97"/>
        <v>-116.43127227596896</v>
      </c>
      <c r="S222" s="346">
        <f t="shared" si="98"/>
        <v>63.568727724031035</v>
      </c>
      <c r="U222" s="319">
        <f t="shared" si="104"/>
        <v>1000000000</v>
      </c>
      <c r="V222" s="319">
        <f t="shared" si="105"/>
        <v>165945924</v>
      </c>
      <c r="X222" s="345">
        <f t="shared" si="99"/>
        <v>40.034464825385456</v>
      </c>
      <c r="Y222" s="346">
        <f t="shared" si="100"/>
        <v>-28.707361387292227</v>
      </c>
      <c r="AA222" s="345">
        <f t="shared" si="101"/>
        <v>31.063872912621164</v>
      </c>
      <c r="AB222" s="346">
        <f t="shared" si="102"/>
        <v>-87.723910888676755</v>
      </c>
      <c r="AD222">
        <f t="shared" si="106"/>
        <v>0</v>
      </c>
      <c r="AE222">
        <f t="shared" si="109"/>
        <v>0</v>
      </c>
    </row>
    <row r="223" spans="1:31" x14ac:dyDescent="0.2">
      <c r="A223" s="347">
        <v>12957.25</v>
      </c>
      <c r="B223" s="364">
        <f t="shared" si="103"/>
        <v>12.95725</v>
      </c>
      <c r="C223" s="337">
        <f t="shared" si="84"/>
        <v>32.031490047750282</v>
      </c>
      <c r="D223" s="338">
        <f t="shared" si="85"/>
        <v>1.5395719750600674</v>
      </c>
      <c r="E223" s="338">
        <f t="shared" si="86"/>
        <v>1.0002982175333157</v>
      </c>
      <c r="F223" s="339">
        <f t="shared" si="87"/>
        <v>2.441898608691128E-2</v>
      </c>
      <c r="G223" s="338">
        <f t="shared" si="88"/>
        <v>1</v>
      </c>
      <c r="H223" s="339">
        <f t="shared" si="89"/>
        <v>0</v>
      </c>
      <c r="I223" s="337">
        <f t="shared" si="90"/>
        <v>1721.4536509440895</v>
      </c>
      <c r="J223" s="340">
        <f t="shared" si="91"/>
        <v>1.570215422362359</v>
      </c>
      <c r="K223" s="348">
        <f t="shared" si="107"/>
        <v>2.2494647090447302</v>
      </c>
      <c r="L223" s="349">
        <f t="shared" si="108"/>
        <v>1.1101242685955752</v>
      </c>
      <c r="M223" s="337">
        <f t="shared" si="92"/>
        <v>1.0007552212944295</v>
      </c>
      <c r="N223" s="340">
        <f t="shared" si="93"/>
        <v>3.885218915842957E-2</v>
      </c>
      <c r="O223" s="341">
        <f t="shared" si="94"/>
        <v>0.999960932694681</v>
      </c>
      <c r="P223" s="342">
        <f t="shared" si="95"/>
        <v>1.6051842350012571E-2</v>
      </c>
      <c r="Q223" s="343">
        <f t="shared" si="96"/>
        <v>14.204959504575909</v>
      </c>
      <c r="R223" s="344">
        <f t="shared" si="97"/>
        <v>-116.31892230353567</v>
      </c>
      <c r="S223" s="346">
        <f t="shared" si="98"/>
        <v>63.681077696464328</v>
      </c>
      <c r="U223" s="319">
        <f t="shared" si="104"/>
        <v>1000000000</v>
      </c>
      <c r="V223" s="319">
        <f t="shared" si="105"/>
        <v>167890327.5625</v>
      </c>
      <c r="X223" s="345">
        <f t="shared" si="99"/>
        <v>40.024344107395315</v>
      </c>
      <c r="Y223" s="346">
        <f t="shared" si="100"/>
        <v>-28.587347798429047</v>
      </c>
      <c r="AA223" s="345">
        <f t="shared" si="101"/>
        <v>31.013365555275602</v>
      </c>
      <c r="AB223" s="346">
        <f t="shared" si="102"/>
        <v>-87.731574505106622</v>
      </c>
      <c r="AD223">
        <f t="shared" si="106"/>
        <v>0</v>
      </c>
      <c r="AE223">
        <f t="shared" si="109"/>
        <v>0</v>
      </c>
    </row>
    <row r="224" spans="1:31" x14ac:dyDescent="0.2">
      <c r="A224" s="347">
        <v>13032.5</v>
      </c>
      <c r="B224" s="364">
        <f t="shared" si="103"/>
        <v>13.032500000000001</v>
      </c>
      <c r="C224" s="337">
        <f t="shared" si="84"/>
        <v>32.21733404637282</v>
      </c>
      <c r="D224" s="338">
        <f t="shared" si="85"/>
        <v>1.5397521491445518</v>
      </c>
      <c r="E224" s="338">
        <f t="shared" si="86"/>
        <v>1.0003016908997799</v>
      </c>
      <c r="F224" s="339">
        <f t="shared" si="87"/>
        <v>2.4560743941047802E-2</v>
      </c>
      <c r="G224" s="338">
        <f t="shared" si="88"/>
        <v>1</v>
      </c>
      <c r="H224" s="339">
        <f t="shared" si="89"/>
        <v>0</v>
      </c>
      <c r="I224" s="337">
        <f t="shared" si="90"/>
        <v>1731.4510920405169</v>
      </c>
      <c r="J224" s="340">
        <f t="shared" si="91"/>
        <v>1.5702187765191822</v>
      </c>
      <c r="K224" s="348">
        <f t="shared" si="107"/>
        <v>2.2599528447353419</v>
      </c>
      <c r="L224" s="349">
        <f t="shared" si="108"/>
        <v>1.1124261524004868</v>
      </c>
      <c r="M224" s="337">
        <f t="shared" si="92"/>
        <v>1.0007640153933643</v>
      </c>
      <c r="N224" s="340">
        <f t="shared" si="93"/>
        <v>3.9077596583051814E-2</v>
      </c>
      <c r="O224" s="341">
        <f t="shared" si="94"/>
        <v>0.99996047776273</v>
      </c>
      <c r="P224" s="342">
        <f t="shared" si="95"/>
        <v>1.61450798022791E-2</v>
      </c>
      <c r="Q224" s="343">
        <f t="shared" si="96"/>
        <v>14.144774098515548</v>
      </c>
      <c r="R224" s="344">
        <f t="shared" si="97"/>
        <v>-116.20768434996032</v>
      </c>
      <c r="S224" s="346">
        <f t="shared" si="98"/>
        <v>63.792315650039683</v>
      </c>
      <c r="U224" s="319">
        <f t="shared" si="104"/>
        <v>1000000000</v>
      </c>
      <c r="V224" s="319">
        <f t="shared" si="105"/>
        <v>169846056.25</v>
      </c>
      <c r="X224" s="345">
        <f t="shared" si="99"/>
        <v>40.014373757028103</v>
      </c>
      <c r="Y224" s="346">
        <f t="shared" si="100"/>
        <v>-28.468566644473938</v>
      </c>
      <c r="AA224" s="345">
        <f t="shared" si="101"/>
        <v>30.963150499582454</v>
      </c>
      <c r="AB224" s="346">
        <f t="shared" si="102"/>
        <v>-87.739117705486393</v>
      </c>
      <c r="AD224">
        <f t="shared" si="106"/>
        <v>0</v>
      </c>
      <c r="AE224">
        <f t="shared" si="109"/>
        <v>0</v>
      </c>
    </row>
    <row r="225" spans="1:31" x14ac:dyDescent="0.2">
      <c r="A225" s="347">
        <v>13107.75</v>
      </c>
      <c r="B225" s="364">
        <f t="shared" si="103"/>
        <v>13.107749999999999</v>
      </c>
      <c r="C225" s="337">
        <f t="shared" si="84"/>
        <v>32.403179078860212</v>
      </c>
      <c r="D225" s="338">
        <f t="shared" si="85"/>
        <v>1.539930256495663</v>
      </c>
      <c r="E225" s="338">
        <f t="shared" si="86"/>
        <v>1.0003051843674562</v>
      </c>
      <c r="F225" s="339">
        <f t="shared" si="87"/>
        <v>2.470250080788217E-2</v>
      </c>
      <c r="G225" s="338">
        <f t="shared" si="88"/>
        <v>1</v>
      </c>
      <c r="H225" s="339">
        <f t="shared" si="89"/>
        <v>0</v>
      </c>
      <c r="I225" s="337">
        <f t="shared" si="90"/>
        <v>1741.4485331562003</v>
      </c>
      <c r="J225" s="340">
        <f t="shared" si="91"/>
        <v>1.5702220921644048</v>
      </c>
      <c r="K225" s="348">
        <f t="shared" si="107"/>
        <v>2.270452844499026</v>
      </c>
      <c r="L225" s="349">
        <f t="shared" si="108"/>
        <v>1.1147067574841225</v>
      </c>
      <c r="M225" s="337">
        <f t="shared" si="92"/>
        <v>1.0007728603387298</v>
      </c>
      <c r="N225" s="340">
        <f t="shared" si="93"/>
        <v>3.9303000034772939E-2</v>
      </c>
      <c r="O225" s="341">
        <f t="shared" si="94"/>
        <v>0.99996002020003394</v>
      </c>
      <c r="P225" s="342">
        <f t="shared" si="95"/>
        <v>1.6238317522472127E-2</v>
      </c>
      <c r="Q225" s="343">
        <f t="shared" si="96"/>
        <v>14.085025098462989</v>
      </c>
      <c r="R225" s="344">
        <f t="shared" si="97"/>
        <v>-116.09754479994579</v>
      </c>
      <c r="S225" s="346">
        <f t="shared" si="98"/>
        <v>63.902455200054206</v>
      </c>
      <c r="U225" s="319">
        <f t="shared" si="104"/>
        <v>1000000000</v>
      </c>
      <c r="V225" s="319">
        <f t="shared" si="105"/>
        <v>171813110.0625</v>
      </c>
      <c r="X225" s="345">
        <f t="shared" si="99"/>
        <v>40.004550864845818</v>
      </c>
      <c r="Y225" s="346">
        <f t="shared" si="100"/>
        <v>-28.351002237260111</v>
      </c>
      <c r="AA225" s="345">
        <f t="shared" si="101"/>
        <v>30.913224391712177</v>
      </c>
      <c r="AB225" s="346">
        <f t="shared" si="102"/>
        <v>-87.746542562685661</v>
      </c>
      <c r="AD225">
        <f t="shared" si="106"/>
        <v>0</v>
      </c>
      <c r="AE225">
        <f t="shared" si="109"/>
        <v>0</v>
      </c>
    </row>
    <row r="226" spans="1:31" x14ac:dyDescent="0.2">
      <c r="A226" s="347">
        <v>13183</v>
      </c>
      <c r="B226" s="364">
        <f t="shared" si="103"/>
        <v>13.183</v>
      </c>
      <c r="C226" s="337">
        <f t="shared" si="84"/>
        <v>32.589025127525034</v>
      </c>
      <c r="D226" s="338">
        <f t="shared" si="85"/>
        <v>1.5401063324600013</v>
      </c>
      <c r="E226" s="338">
        <f t="shared" si="86"/>
        <v>1.0003086979361338</v>
      </c>
      <c r="F226" s="339">
        <f t="shared" si="87"/>
        <v>2.4844256681727545E-2</v>
      </c>
      <c r="G226" s="338">
        <f t="shared" si="88"/>
        <v>1</v>
      </c>
      <c r="H226" s="339">
        <f t="shared" si="89"/>
        <v>0</v>
      </c>
      <c r="I226" s="337">
        <f t="shared" si="90"/>
        <v>1751.4459742908098</v>
      </c>
      <c r="J226" s="340">
        <f t="shared" si="91"/>
        <v>1.5702253699575115</v>
      </c>
      <c r="K226" s="348">
        <f t="shared" si="107"/>
        <v>2.280964544493568</v>
      </c>
      <c r="L226" s="349">
        <f t="shared" si="108"/>
        <v>1.1169663541433463</v>
      </c>
      <c r="M226" s="337">
        <f t="shared" si="92"/>
        <v>1.0007817561291772</v>
      </c>
      <c r="N226" s="340">
        <f t="shared" si="93"/>
        <v>3.952839949079457E-2</v>
      </c>
      <c r="O226" s="341">
        <f t="shared" si="94"/>
        <v>0.99995956000665598</v>
      </c>
      <c r="P226" s="342">
        <f t="shared" si="95"/>
        <v>1.6331555512138426E-2</v>
      </c>
      <c r="Q226" s="343">
        <f t="shared" si="96"/>
        <v>14.025706366192022</v>
      </c>
      <c r="R226" s="344">
        <f t="shared" si="97"/>
        <v>-115.98849022872743</v>
      </c>
      <c r="S226" s="346">
        <f t="shared" si="98"/>
        <v>64.011509771272571</v>
      </c>
      <c r="U226" s="319">
        <f t="shared" si="104"/>
        <v>1000000000</v>
      </c>
      <c r="V226" s="319">
        <f t="shared" si="105"/>
        <v>173791489</v>
      </c>
      <c r="X226" s="345">
        <f t="shared" si="99"/>
        <v>39.994872589075328</v>
      </c>
      <c r="Y226" s="346">
        <f t="shared" si="100"/>
        <v>-28.234639126397486</v>
      </c>
      <c r="AA226" s="345">
        <f t="shared" si="101"/>
        <v>30.863583935211697</v>
      </c>
      <c r="AB226" s="346">
        <f t="shared" si="102"/>
        <v>-87.753851102329946</v>
      </c>
      <c r="AD226">
        <f t="shared" si="106"/>
        <v>0</v>
      </c>
      <c r="AE226">
        <f t="shared" si="109"/>
        <v>0</v>
      </c>
    </row>
    <row r="227" spans="1:31" x14ac:dyDescent="0.2">
      <c r="A227" s="347">
        <v>13259.75</v>
      </c>
      <c r="B227" s="364">
        <f t="shared" si="103"/>
        <v>13.25975</v>
      </c>
      <c r="C227" s="337">
        <f t="shared" si="84"/>
        <v>32.778576777428924</v>
      </c>
      <c r="D227" s="338">
        <f t="shared" si="85"/>
        <v>1.540283861532306</v>
      </c>
      <c r="E227" s="338">
        <f t="shared" si="86"/>
        <v>1.0003123022485267</v>
      </c>
      <c r="F227" s="339">
        <f t="shared" si="87"/>
        <v>2.4988837225281234E-2</v>
      </c>
      <c r="G227" s="338">
        <f t="shared" si="88"/>
        <v>1</v>
      </c>
      <c r="H227" s="339">
        <f t="shared" si="89"/>
        <v>0</v>
      </c>
      <c r="I227" s="337">
        <f t="shared" si="90"/>
        <v>1761.64269998547</v>
      </c>
      <c r="J227" s="340">
        <f t="shared" si="91"/>
        <v>1.5702286747655079</v>
      </c>
      <c r="K227" s="348">
        <f t="shared" si="107"/>
        <v>2.2916976654814261</v>
      </c>
      <c r="L227" s="349">
        <f t="shared" si="108"/>
        <v>1.1192496278508652</v>
      </c>
      <c r="M227" s="337">
        <f t="shared" si="92"/>
        <v>1.0007908816184141</v>
      </c>
      <c r="N227" s="340">
        <f t="shared" si="93"/>
        <v>3.975828781962442E-2</v>
      </c>
      <c r="O227" s="341">
        <f t="shared" si="94"/>
        <v>0.99995908793019117</v>
      </c>
      <c r="P227" s="342">
        <f t="shared" si="95"/>
        <v>1.642665234557087E-2</v>
      </c>
      <c r="Q227" s="343">
        <f t="shared" si="96"/>
        <v>13.965642181180177</v>
      </c>
      <c r="R227" s="344">
        <f t="shared" si="97"/>
        <v>-115.87836572307849</v>
      </c>
      <c r="S227" s="346">
        <f t="shared" si="98"/>
        <v>64.121634276921512</v>
      </c>
      <c r="U227" s="319">
        <f t="shared" si="104"/>
        <v>1000000000</v>
      </c>
      <c r="V227" s="319">
        <f t="shared" si="105"/>
        <v>175820970.0625</v>
      </c>
      <c r="X227" s="345">
        <f t="shared" si="99"/>
        <v>39.98514748193594</v>
      </c>
      <c r="Y227" s="346">
        <f t="shared" si="100"/>
        <v>-28.117178161900792</v>
      </c>
      <c r="AA227" s="345">
        <f t="shared" si="101"/>
        <v>30.813244857339246</v>
      </c>
      <c r="AB227" s="346">
        <f t="shared" si="102"/>
        <v>-87.761187561177664</v>
      </c>
      <c r="AD227">
        <f t="shared" si="106"/>
        <v>0</v>
      </c>
      <c r="AE227">
        <f t="shared" si="109"/>
        <v>0</v>
      </c>
    </row>
    <row r="228" spans="1:31" x14ac:dyDescent="0.2">
      <c r="A228" s="347">
        <v>13336.5</v>
      </c>
      <c r="B228" s="364">
        <f t="shared" si="103"/>
        <v>13.336499999999999</v>
      </c>
      <c r="C228" s="337">
        <f t="shared" si="84"/>
        <v>32.968129448521815</v>
      </c>
      <c r="D228" s="338">
        <f t="shared" si="85"/>
        <v>1.5404593491773224</v>
      </c>
      <c r="E228" s="338">
        <f t="shared" si="86"/>
        <v>1.0003159274708309</v>
      </c>
      <c r="F228" s="339">
        <f t="shared" si="87"/>
        <v>2.5133416723914982E-2</v>
      </c>
      <c r="G228" s="338">
        <f t="shared" si="88"/>
        <v>1</v>
      </c>
      <c r="H228" s="339">
        <f t="shared" si="89"/>
        <v>0</v>
      </c>
      <c r="I228" s="337">
        <f t="shared" si="90"/>
        <v>1771.8394256991492</v>
      </c>
      <c r="J228" s="340">
        <f t="shared" si="91"/>
        <v>1.570231941535948</v>
      </c>
      <c r="K228" s="348">
        <f t="shared" si="107"/>
        <v>2.3024426224410273</v>
      </c>
      <c r="L228" s="349">
        <f t="shared" si="108"/>
        <v>1.1215116022590139</v>
      </c>
      <c r="M228" s="337">
        <f t="shared" si="92"/>
        <v>1.0008000599971254</v>
      </c>
      <c r="N228" s="340">
        <f t="shared" si="93"/>
        <v>3.9988171943972431E-2</v>
      </c>
      <c r="O228" s="341">
        <f t="shared" si="94"/>
        <v>0.99995861311725553</v>
      </c>
      <c r="P228" s="342">
        <f t="shared" si="95"/>
        <v>1.6521749462576975E-2</v>
      </c>
      <c r="Q228" s="343">
        <f t="shared" si="96"/>
        <v>13.906013074373407</v>
      </c>
      <c r="R228" s="344">
        <f t="shared" si="97"/>
        <v>-115.76934226805004</v>
      </c>
      <c r="S228" s="346">
        <f t="shared" si="98"/>
        <v>64.230657731949961</v>
      </c>
      <c r="U228" s="319">
        <f t="shared" si="104"/>
        <v>1000000000</v>
      </c>
      <c r="V228" s="319">
        <f t="shared" si="105"/>
        <v>177862232.25</v>
      </c>
      <c r="X228" s="345">
        <f t="shared" si="99"/>
        <v>39.975567050010945</v>
      </c>
      <c r="Y228" s="346">
        <f t="shared" si="100"/>
        <v>-28.000935137075516</v>
      </c>
      <c r="AA228" s="345">
        <f t="shared" si="101"/>
        <v>30.763196182457474</v>
      </c>
      <c r="AB228" s="346">
        <f t="shared" si="102"/>
        <v>-87.768407130974524</v>
      </c>
      <c r="AD228">
        <f t="shared" si="106"/>
        <v>0</v>
      </c>
      <c r="AE228">
        <f t="shared" si="109"/>
        <v>0</v>
      </c>
    </row>
    <row r="229" spans="1:31" x14ac:dyDescent="0.2">
      <c r="A229" s="347">
        <v>13413.25</v>
      </c>
      <c r="B229" s="364">
        <f t="shared" si="103"/>
        <v>13.41325</v>
      </c>
      <c r="C229" s="337">
        <f t="shared" si="84"/>
        <v>33.157683123290198</v>
      </c>
      <c r="D229" s="338">
        <f t="shared" si="85"/>
        <v>1.5406328303950421</v>
      </c>
      <c r="E229" s="338">
        <f t="shared" si="86"/>
        <v>1.0003195736028183</v>
      </c>
      <c r="F229" s="339">
        <f t="shared" si="87"/>
        <v>2.5277995171595818E-2</v>
      </c>
      <c r="G229" s="338">
        <f t="shared" si="88"/>
        <v>1</v>
      </c>
      <c r="H229" s="339">
        <f t="shared" si="89"/>
        <v>0</v>
      </c>
      <c r="I229" s="337">
        <f t="shared" si="90"/>
        <v>1782.0361514315205</v>
      </c>
      <c r="J229" s="340">
        <f t="shared" si="91"/>
        <v>1.5702351709217797</v>
      </c>
      <c r="K229" s="348">
        <f t="shared" si="107"/>
        <v>2.3131992504358632</v>
      </c>
      <c r="L229" s="349">
        <f t="shared" si="108"/>
        <v>1.1237525511905684</v>
      </c>
      <c r="M229" s="337">
        <f t="shared" si="92"/>
        <v>1.0008092912638564</v>
      </c>
      <c r="N229" s="340">
        <f t="shared" si="93"/>
        <v>4.0218051839657355E-2</v>
      </c>
      <c r="O229" s="341">
        <f t="shared" si="94"/>
        <v>0.99995813556791735</v>
      </c>
      <c r="P229" s="342">
        <f t="shared" si="95"/>
        <v>1.661684686479787E-2</v>
      </c>
      <c r="Q229" s="343">
        <f t="shared" si="96"/>
        <v>13.846812915242575</v>
      </c>
      <c r="R229" s="344">
        <f t="shared" si="97"/>
        <v>-115.66140621656987</v>
      </c>
      <c r="S229" s="346">
        <f t="shared" si="98"/>
        <v>64.338593783430127</v>
      </c>
      <c r="U229" s="319">
        <f t="shared" si="104"/>
        <v>1000000000</v>
      </c>
      <c r="V229" s="319">
        <f t="shared" si="105"/>
        <v>179915275.5625</v>
      </c>
      <c r="X229" s="345">
        <f t="shared" si="99"/>
        <v>39.966128484129285</v>
      </c>
      <c r="Y229" s="346">
        <f t="shared" si="100"/>
        <v>-27.885894399057861</v>
      </c>
      <c r="AA229" s="345">
        <f t="shared" si="101"/>
        <v>30.713434589208305</v>
      </c>
      <c r="AB229" s="346">
        <f t="shared" si="102"/>
        <v>-87.775511817512026</v>
      </c>
      <c r="AD229">
        <f t="shared" si="106"/>
        <v>0</v>
      </c>
      <c r="AE229">
        <f t="shared" si="109"/>
        <v>0</v>
      </c>
    </row>
    <row r="230" spans="1:31" x14ac:dyDescent="0.2">
      <c r="A230" s="347">
        <v>13490</v>
      </c>
      <c r="B230" s="364">
        <f t="shared" si="103"/>
        <v>13.49</v>
      </c>
      <c r="C230" s="337">
        <f t="shared" si="84"/>
        <v>33.347237784618677</v>
      </c>
      <c r="D230" s="338">
        <f t="shared" si="85"/>
        <v>1.5408043393901487</v>
      </c>
      <c r="E230" s="338">
        <f t="shared" si="86"/>
        <v>1.0003232406442608</v>
      </c>
      <c r="F230" s="339">
        <f t="shared" si="87"/>
        <v>2.5422572562291045E-2</v>
      </c>
      <c r="G230" s="338">
        <f t="shared" si="88"/>
        <v>1</v>
      </c>
      <c r="H230" s="339">
        <f t="shared" si="89"/>
        <v>0</v>
      </c>
      <c r="I230" s="337">
        <f t="shared" si="90"/>
        <v>1792.2328771822654</v>
      </c>
      <c r="J230" s="340">
        <f t="shared" si="91"/>
        <v>1.5702383635610899</v>
      </c>
      <c r="K230" s="348">
        <f t="shared" si="107"/>
        <v>2.3239673874055953</v>
      </c>
      <c r="L230" s="349">
        <f t="shared" si="108"/>
        <v>1.1259727442462284</v>
      </c>
      <c r="M230" s="337">
        <f t="shared" si="92"/>
        <v>1.0008185754171433</v>
      </c>
      <c r="N230" s="340">
        <f t="shared" si="93"/>
        <v>4.0447927482500652E-2</v>
      </c>
      <c r="O230" s="341">
        <f t="shared" si="94"/>
        <v>0.99995765528224501</v>
      </c>
      <c r="P230" s="342">
        <f t="shared" si="95"/>
        <v>1.6711944553874675E-2</v>
      </c>
      <c r="Q230" s="343">
        <f t="shared" si="96"/>
        <v>13.788035695519365</v>
      </c>
      <c r="R230" s="344">
        <f t="shared" si="97"/>
        <v>-115.55454411705381</v>
      </c>
      <c r="S230" s="346">
        <f t="shared" si="98"/>
        <v>64.445455882946192</v>
      </c>
      <c r="U230" s="319">
        <f t="shared" si="104"/>
        <v>1000000000</v>
      </c>
      <c r="V230" s="319">
        <f t="shared" si="105"/>
        <v>181980100</v>
      </c>
      <c r="X230" s="345">
        <f t="shared" si="99"/>
        <v>39.956829040736672</v>
      </c>
      <c r="Y230" s="346">
        <f t="shared" si="100"/>
        <v>-27.772040536039956</v>
      </c>
      <c r="AA230" s="345">
        <f t="shared" si="101"/>
        <v>30.663956812877696</v>
      </c>
      <c r="AB230" s="346">
        <f t="shared" si="102"/>
        <v>-87.782503581013842</v>
      </c>
      <c r="AD230">
        <f t="shared" si="106"/>
        <v>0</v>
      </c>
      <c r="AE230">
        <f t="shared" si="109"/>
        <v>0</v>
      </c>
    </row>
    <row r="231" spans="1:31" x14ac:dyDescent="0.2">
      <c r="A231" s="347">
        <v>13568.5</v>
      </c>
      <c r="B231" s="364">
        <f t="shared" si="103"/>
        <v>13.5685</v>
      </c>
      <c r="C231" s="337">
        <f t="shared" si="84"/>
        <v>33.541115542326743</v>
      </c>
      <c r="D231" s="338">
        <f t="shared" si="85"/>
        <v>1.5409777536669695</v>
      </c>
      <c r="E231" s="338">
        <f t="shared" si="86"/>
        <v>1.0003270129288209</v>
      </c>
      <c r="F231" s="339">
        <f t="shared" si="87"/>
        <v>2.5570445406169477E-2</v>
      </c>
      <c r="G231" s="338">
        <f t="shared" si="88"/>
        <v>1</v>
      </c>
      <c r="H231" s="339">
        <f t="shared" si="89"/>
        <v>0</v>
      </c>
      <c r="I231" s="337">
        <f t="shared" si="90"/>
        <v>1802.6621015844446</v>
      </c>
      <c r="J231" s="340">
        <f t="shared" si="91"/>
        <v>1.5702415916338204</v>
      </c>
      <c r="K231" s="348">
        <f t="shared" si="107"/>
        <v>2.3349927915587463</v>
      </c>
      <c r="L231" s="349">
        <f t="shared" si="108"/>
        <v>1.1282223660921946</v>
      </c>
      <c r="M231" s="337">
        <f t="shared" si="92"/>
        <v>1.000828125968815</v>
      </c>
      <c r="N231" s="340">
        <f t="shared" si="93"/>
        <v>4.0683040164911317E-2</v>
      </c>
      <c r="O231" s="341">
        <f t="shared" si="94"/>
        <v>0.99995716121487244</v>
      </c>
      <c r="P231" s="342">
        <f t="shared" si="95"/>
        <v>1.6809210892620302E-2</v>
      </c>
      <c r="Q231" s="343">
        <f t="shared" si="96"/>
        <v>13.728349655688888</v>
      </c>
      <c r="R231" s="344">
        <f t="shared" si="97"/>
        <v>-115.44634256602053</v>
      </c>
      <c r="S231" s="346">
        <f t="shared" si="98"/>
        <v>64.553657433979467</v>
      </c>
      <c r="U231" s="319">
        <f t="shared" si="104"/>
        <v>1000000000</v>
      </c>
      <c r="V231" s="319">
        <f t="shared" si="105"/>
        <v>184104192.25</v>
      </c>
      <c r="X231" s="345">
        <f t="shared" si="99"/>
        <v>39.947458682073361</v>
      </c>
      <c r="Y231" s="346">
        <f t="shared" si="100"/>
        <v>-27.656802617989534</v>
      </c>
      <c r="AA231" s="345">
        <f t="shared" si="101"/>
        <v>30.613641131710537</v>
      </c>
      <c r="AB231" s="346">
        <f t="shared" si="102"/>
        <v>-87.78953994803102</v>
      </c>
      <c r="AD231">
        <f t="shared" si="106"/>
        <v>0</v>
      </c>
      <c r="AE231">
        <f t="shared" si="109"/>
        <v>0</v>
      </c>
    </row>
    <row r="232" spans="1:31" x14ac:dyDescent="0.2">
      <c r="A232" s="347">
        <v>13647</v>
      </c>
      <c r="B232" s="364">
        <f t="shared" si="103"/>
        <v>13.647</v>
      </c>
      <c r="C232" s="337">
        <f t="shared" si="84"/>
        <v>33.734994297106603</v>
      </c>
      <c r="D232" s="338">
        <f t="shared" si="85"/>
        <v>1.5411491746867216</v>
      </c>
      <c r="E232" s="338">
        <f t="shared" si="86"/>
        <v>1.000330807086744</v>
      </c>
      <c r="F232" s="339">
        <f t="shared" si="87"/>
        <v>2.5718317131546542E-2</v>
      </c>
      <c r="G232" s="338">
        <f t="shared" si="88"/>
        <v>1</v>
      </c>
      <c r="H232" s="339">
        <f t="shared" si="89"/>
        <v>0</v>
      </c>
      <c r="I232" s="337">
        <f t="shared" si="90"/>
        <v>1813.0913260051923</v>
      </c>
      <c r="J232" s="340">
        <f t="shared" si="91"/>
        <v>1.5702447825696515</v>
      </c>
      <c r="K232" s="348">
        <f t="shared" si="107"/>
        <v>2.3460299015354131</v>
      </c>
      <c r="L232" s="349">
        <f t="shared" si="108"/>
        <v>1.1304508320286473</v>
      </c>
      <c r="M232" s="337">
        <f t="shared" si="92"/>
        <v>1.0008377318431794</v>
      </c>
      <c r="N232" s="340">
        <f t="shared" si="93"/>
        <v>4.0918148347173097E-2</v>
      </c>
      <c r="O232" s="341">
        <f t="shared" si="94"/>
        <v>0.99995666428510588</v>
      </c>
      <c r="P232" s="342">
        <f t="shared" si="95"/>
        <v>1.6906477534925118E-2</v>
      </c>
      <c r="Q232" s="343">
        <f t="shared" si="96"/>
        <v>13.669093726678041</v>
      </c>
      <c r="R232" s="344">
        <f t="shared" si="97"/>
        <v>-115.33923664994886</v>
      </c>
      <c r="S232" s="346">
        <f t="shared" si="98"/>
        <v>64.660763350051141</v>
      </c>
      <c r="U232" s="319">
        <f t="shared" si="104"/>
        <v>1000000000</v>
      </c>
      <c r="V232" s="319">
        <f t="shared" si="105"/>
        <v>186240609</v>
      </c>
      <c r="X232" s="345">
        <f t="shared" si="99"/>
        <v>39.938228259491474</v>
      </c>
      <c r="Y232" s="346">
        <f t="shared" si="100"/>
        <v>-27.542774458640235</v>
      </c>
      <c r="AA232" s="345">
        <f t="shared" si="101"/>
        <v>30.563615625281571</v>
      </c>
      <c r="AB232" s="346">
        <f t="shared" si="102"/>
        <v>-87.796462191308606</v>
      </c>
      <c r="AD232">
        <f t="shared" si="106"/>
        <v>0</v>
      </c>
      <c r="AE232">
        <f t="shared" si="109"/>
        <v>0</v>
      </c>
    </row>
    <row r="233" spans="1:31" x14ac:dyDescent="0.2">
      <c r="A233" s="347">
        <v>13725.5</v>
      </c>
      <c r="B233" s="364">
        <f t="shared" si="103"/>
        <v>13.7255</v>
      </c>
      <c r="C233" s="337">
        <f t="shared" si="84"/>
        <v>33.928874031865639</v>
      </c>
      <c r="D233" s="338">
        <f t="shared" si="85"/>
        <v>1.541318636609444</v>
      </c>
      <c r="E233" s="338">
        <f t="shared" si="86"/>
        <v>1.0003346231177819</v>
      </c>
      <c r="F233" s="339">
        <f t="shared" si="87"/>
        <v>2.5866187731968263E-2</v>
      </c>
      <c r="G233" s="338">
        <f t="shared" si="88"/>
        <v>1</v>
      </c>
      <c r="H233" s="339">
        <f t="shared" si="89"/>
        <v>0</v>
      </c>
      <c r="I233" s="337">
        <f t="shared" si="90"/>
        <v>1823.5205504441897</v>
      </c>
      <c r="J233" s="340">
        <f t="shared" si="91"/>
        <v>1.5702479370057723</v>
      </c>
      <c r="K233" s="348">
        <f t="shared" si="107"/>
        <v>2.3570785528967098</v>
      </c>
      <c r="L233" s="349">
        <f t="shared" si="108"/>
        <v>1.1326584172663672</v>
      </c>
      <c r="M233" s="337">
        <f t="shared" si="92"/>
        <v>1.0008473930386439</v>
      </c>
      <c r="N233" s="340">
        <f t="shared" si="93"/>
        <v>4.1153252003424338E-2</v>
      </c>
      <c r="O233" s="341">
        <f t="shared" si="94"/>
        <v>0.99995616449301983</v>
      </c>
      <c r="P233" s="342">
        <f t="shared" si="95"/>
        <v>1.7003744482545054E-2</v>
      </c>
      <c r="Q233" s="343">
        <f t="shared" si="96"/>
        <v>13.610261857076464</v>
      </c>
      <c r="R233" s="344">
        <f t="shared" si="97"/>
        <v>-115.2332125931454</v>
      </c>
      <c r="S233" s="346">
        <f t="shared" si="98"/>
        <v>64.766787406854604</v>
      </c>
      <c r="U233" s="319">
        <f t="shared" si="104"/>
        <v>1000000000</v>
      </c>
      <c r="V233" s="319">
        <f t="shared" si="105"/>
        <v>188389350.25</v>
      </c>
      <c r="X233" s="345">
        <f t="shared" si="99"/>
        <v>39.929135039077423</v>
      </c>
      <c r="Y233" s="346">
        <f t="shared" si="100"/>
        <v>-27.429940324602327</v>
      </c>
      <c r="AA233" s="345">
        <f t="shared" si="101"/>
        <v>30.513876976094046</v>
      </c>
      <c r="AB233" s="346">
        <f t="shared" si="102"/>
        <v>-87.803272268543054</v>
      </c>
      <c r="AD233">
        <f t="shared" si="106"/>
        <v>0</v>
      </c>
      <c r="AE233">
        <f t="shared" si="109"/>
        <v>0</v>
      </c>
    </row>
    <row r="234" spans="1:31" x14ac:dyDescent="0.2">
      <c r="A234" s="347">
        <v>13804</v>
      </c>
      <c r="B234" s="364">
        <f t="shared" si="103"/>
        <v>13.804</v>
      </c>
      <c r="C234" s="337">
        <f t="shared" si="84"/>
        <v>34.12275472989964</v>
      </c>
      <c r="D234" s="338">
        <f t="shared" si="85"/>
        <v>1.5414861728192619</v>
      </c>
      <c r="E234" s="338">
        <f t="shared" si="86"/>
        <v>1.0003384610216837</v>
      </c>
      <c r="F234" s="339">
        <f t="shared" si="87"/>
        <v>2.6014057200980958E-2</v>
      </c>
      <c r="G234" s="338">
        <f t="shared" si="88"/>
        <v>1</v>
      </c>
      <c r="H234" s="339">
        <f t="shared" si="89"/>
        <v>0</v>
      </c>
      <c r="I234" s="337">
        <f t="shared" si="90"/>
        <v>1833.9497749011259</v>
      </c>
      <c r="J234" s="340">
        <f t="shared" si="91"/>
        <v>1.5702510555648777</v>
      </c>
      <c r="K234" s="348">
        <f t="shared" si="107"/>
        <v>2.3681385841021778</v>
      </c>
      <c r="L234" s="349">
        <f t="shared" si="108"/>
        <v>1.1348453926969724</v>
      </c>
      <c r="M234" s="337">
        <f t="shared" si="92"/>
        <v>1.0008571095536065</v>
      </c>
      <c r="N234" s="340">
        <f t="shared" si="93"/>
        <v>4.1388351107806379E-2</v>
      </c>
      <c r="O234" s="341">
        <f t="shared" si="94"/>
        <v>0.99995566183868967</v>
      </c>
      <c r="P234" s="342">
        <f t="shared" si="95"/>
        <v>1.7101011737236067E-2</v>
      </c>
      <c r="Q234" s="343">
        <f t="shared" si="96"/>
        <v>13.551848116336927</v>
      </c>
      <c r="R234" s="344">
        <f t="shared" si="97"/>
        <v>-115.1282568220998</v>
      </c>
      <c r="S234" s="346">
        <f t="shared" si="98"/>
        <v>64.8717431779002</v>
      </c>
      <c r="U234" s="319">
        <f t="shared" si="104"/>
        <v>1000000000</v>
      </c>
      <c r="V234" s="319">
        <f t="shared" si="105"/>
        <v>190550416</v>
      </c>
      <c r="X234" s="345">
        <f t="shared" si="99"/>
        <v>39.920176351219617</v>
      </c>
      <c r="Y234" s="346">
        <f t="shared" si="100"/>
        <v>-27.318284729125555</v>
      </c>
      <c r="AA234" s="345">
        <f t="shared" si="101"/>
        <v>30.464421923212317</v>
      </c>
      <c r="AB234" s="346">
        <f t="shared" si="102"/>
        <v>-87.809972092974249</v>
      </c>
      <c r="AD234">
        <f t="shared" si="106"/>
        <v>0</v>
      </c>
      <c r="AE234">
        <f t="shared" si="109"/>
        <v>0</v>
      </c>
    </row>
    <row r="235" spans="1:31" x14ac:dyDescent="0.2">
      <c r="A235" s="347">
        <v>13884.25</v>
      </c>
      <c r="B235" s="364">
        <f t="shared" si="103"/>
        <v>13.88425</v>
      </c>
      <c r="C235" s="337">
        <f t="shared" si="84"/>
        <v>34.320958587825636</v>
      </c>
      <c r="D235" s="338">
        <f t="shared" si="85"/>
        <v>1.5416554873021768</v>
      </c>
      <c r="E235" s="338">
        <f t="shared" si="86"/>
        <v>1.0003424070934073</v>
      </c>
      <c r="F235" s="339">
        <f t="shared" si="87"/>
        <v>2.616522194688024E-2</v>
      </c>
      <c r="G235" s="338">
        <f t="shared" si="88"/>
        <v>1</v>
      </c>
      <c r="H235" s="339">
        <f t="shared" si="89"/>
        <v>0</v>
      </c>
      <c r="I235" s="337">
        <f t="shared" si="90"/>
        <v>1844.6114980106784</v>
      </c>
      <c r="J235" s="340">
        <f t="shared" si="91"/>
        <v>1.5702542071940697</v>
      </c>
      <c r="K235" s="348">
        <f t="shared" si="107"/>
        <v>2.3794567744702726</v>
      </c>
      <c r="L235" s="349">
        <f t="shared" si="108"/>
        <v>1.1370600958995181</v>
      </c>
      <c r="M235" s="337">
        <f t="shared" si="92"/>
        <v>1.0008670998601974</v>
      </c>
      <c r="N235" s="340">
        <f t="shared" si="93"/>
        <v>4.1628686542887212E-2</v>
      </c>
      <c r="O235" s="341">
        <f t="shared" si="94"/>
        <v>0.99995514502010119</v>
      </c>
      <c r="P235" s="342">
        <f t="shared" si="95"/>
        <v>1.7200447689460621E-2</v>
      </c>
      <c r="Q235" s="343">
        <f t="shared" si="96"/>
        <v>13.492558320711618</v>
      </c>
      <c r="R235" s="344">
        <f t="shared" si="97"/>
        <v>-115.02205162047194</v>
      </c>
      <c r="S235" s="346">
        <f t="shared" si="98"/>
        <v>64.977948379528058</v>
      </c>
      <c r="U235" s="319">
        <f t="shared" si="104"/>
        <v>1000000000</v>
      </c>
      <c r="V235" s="319">
        <f t="shared" si="105"/>
        <v>192772398.0625</v>
      </c>
      <c r="X235" s="345">
        <f t="shared" si="99"/>
        <v>39.911154297515147</v>
      </c>
      <c r="Y235" s="346">
        <f t="shared" si="100"/>
        <v>-27.205342363765393</v>
      </c>
      <c r="AA235" s="345">
        <f t="shared" si="101"/>
        <v>30.414154181291483</v>
      </c>
      <c r="AB235" s="346">
        <f t="shared" si="102"/>
        <v>-87.816709256706559</v>
      </c>
      <c r="AD235">
        <f t="shared" si="106"/>
        <v>0</v>
      </c>
      <c r="AE235">
        <f t="shared" si="109"/>
        <v>0</v>
      </c>
    </row>
    <row r="236" spans="1:31" x14ac:dyDescent="0.2">
      <c r="A236" s="347">
        <v>13964.5</v>
      </c>
      <c r="B236" s="364">
        <f t="shared" si="103"/>
        <v>13.964499999999999</v>
      </c>
      <c r="C236" s="337">
        <f t="shared" si="84"/>
        <v>34.519163418345343</v>
      </c>
      <c r="D236" s="338">
        <f t="shared" si="85"/>
        <v>1.5418228574235808</v>
      </c>
      <c r="E236" s="338">
        <f t="shared" si="86"/>
        <v>1.0003463760235549</v>
      </c>
      <c r="F236" s="339">
        <f t="shared" si="87"/>
        <v>2.6316385496724558E-2</v>
      </c>
      <c r="G236" s="338">
        <f t="shared" si="88"/>
        <v>1</v>
      </c>
      <c r="H236" s="339">
        <f t="shared" si="89"/>
        <v>0</v>
      </c>
      <c r="I236" s="337">
        <f t="shared" si="90"/>
        <v>1855.273221138342</v>
      </c>
      <c r="J236" s="340">
        <f t="shared" si="91"/>
        <v>1.5702573226002436</v>
      </c>
      <c r="K236" s="348">
        <f t="shared" si="107"/>
        <v>2.3907865253238834</v>
      </c>
      <c r="L236" s="349">
        <f t="shared" si="108"/>
        <v>1.1392538191658503</v>
      </c>
      <c r="M236" s="337">
        <f t="shared" si="92"/>
        <v>1.0008771479768384</v>
      </c>
      <c r="N236" s="340">
        <f t="shared" si="93"/>
        <v>4.186901716624538E-2</v>
      </c>
      <c r="O236" s="341">
        <f t="shared" si="94"/>
        <v>0.99995462521039025</v>
      </c>
      <c r="P236" s="342">
        <f t="shared" si="95"/>
        <v>1.7299883966311016E-2</v>
      </c>
      <c r="Q236" s="343">
        <f t="shared" si="96"/>
        <v>13.433693344001423</v>
      </c>
      <c r="R236" s="344">
        <f t="shared" si="97"/>
        <v>-114.91693481294752</v>
      </c>
      <c r="S236" s="346">
        <f t="shared" si="98"/>
        <v>65.083065187052483</v>
      </c>
      <c r="U236" s="319">
        <f t="shared" si="104"/>
        <v>1000000000</v>
      </c>
      <c r="V236" s="319">
        <f t="shared" si="105"/>
        <v>195007260.25</v>
      </c>
      <c r="X236" s="345">
        <f t="shared" si="99"/>
        <v>39.902267397508709</v>
      </c>
      <c r="Y236" s="346">
        <f t="shared" si="100"/>
        <v>-27.093599709088629</v>
      </c>
      <c r="AA236" s="345">
        <f t="shared" si="101"/>
        <v>30.36417610458772</v>
      </c>
      <c r="AB236" s="346">
        <f t="shared" si="102"/>
        <v>-87.823335103858895</v>
      </c>
      <c r="AD236">
        <f t="shared" si="106"/>
        <v>0</v>
      </c>
      <c r="AE236">
        <f t="shared" si="109"/>
        <v>0</v>
      </c>
    </row>
    <row r="237" spans="1:31" x14ac:dyDescent="0.2">
      <c r="A237" s="347">
        <v>14044.75</v>
      </c>
      <c r="B237" s="364">
        <f t="shared" si="103"/>
        <v>14.044750000000001</v>
      </c>
      <c r="C237" s="337">
        <f t="shared" si="84"/>
        <v>34.717369204800853</v>
      </c>
      <c r="D237" s="338">
        <f t="shared" si="85"/>
        <v>1.5419883164758219</v>
      </c>
      <c r="E237" s="338">
        <f t="shared" si="86"/>
        <v>1.0003503678118544</v>
      </c>
      <c r="F237" s="339">
        <f t="shared" si="87"/>
        <v>2.6467547843619876E-2</v>
      </c>
      <c r="G237" s="338">
        <f t="shared" si="88"/>
        <v>1</v>
      </c>
      <c r="H237" s="339">
        <f t="shared" si="89"/>
        <v>0</v>
      </c>
      <c r="I237" s="337">
        <f t="shared" si="90"/>
        <v>1865.9349442838068</v>
      </c>
      <c r="J237" s="340">
        <f t="shared" si="91"/>
        <v>1.570260402404321</v>
      </c>
      <c r="K237" s="348">
        <f t="shared" si="107"/>
        <v>2.4021276730862566</v>
      </c>
      <c r="L237" s="349">
        <f t="shared" si="108"/>
        <v>1.1414268383884412</v>
      </c>
      <c r="M237" s="337">
        <f t="shared" si="92"/>
        <v>1.0008872539017881</v>
      </c>
      <c r="N237" s="340">
        <f t="shared" si="93"/>
        <v>4.2109342950263799E-2</v>
      </c>
      <c r="O237" s="341">
        <f t="shared" si="94"/>
        <v>0.99995410240963867</v>
      </c>
      <c r="P237" s="342">
        <f t="shared" si="95"/>
        <v>1.7399320569663257E-2</v>
      </c>
      <c r="Q237" s="343">
        <f t="shared" si="96"/>
        <v>13.375247222385454</v>
      </c>
      <c r="R237" s="344">
        <f t="shared" si="97"/>
        <v>-114.81289253405963</v>
      </c>
      <c r="S237" s="346">
        <f t="shared" si="98"/>
        <v>65.187107465940372</v>
      </c>
      <c r="U237" s="319">
        <f t="shared" si="104"/>
        <v>1000000000</v>
      </c>
      <c r="V237" s="319">
        <f t="shared" si="105"/>
        <v>197255002.5625</v>
      </c>
      <c r="X237" s="345">
        <f t="shared" si="99"/>
        <v>39.893512996192584</v>
      </c>
      <c r="Y237" s="346">
        <f t="shared" si="100"/>
        <v>-26.983040991614818</v>
      </c>
      <c r="AA237" s="345">
        <f t="shared" si="101"/>
        <v>30.314484384287876</v>
      </c>
      <c r="AB237" s="346">
        <f t="shared" si="102"/>
        <v>-87.829851542444786</v>
      </c>
      <c r="AD237">
        <f t="shared" si="106"/>
        <v>0</v>
      </c>
      <c r="AE237">
        <f t="shared" si="109"/>
        <v>0</v>
      </c>
    </row>
    <row r="238" spans="1:31" x14ac:dyDescent="0.2">
      <c r="A238" s="347">
        <v>14125</v>
      </c>
      <c r="B238" s="364">
        <f t="shared" si="103"/>
        <v>14.125</v>
      </c>
      <c r="C238" s="337">
        <f t="shared" si="84"/>
        <v>34.915575930912446</v>
      </c>
      <c r="D238" s="338">
        <f t="shared" si="85"/>
        <v>1.5421518969957044</v>
      </c>
      <c r="E238" s="338">
        <f t="shared" si="86"/>
        <v>1.0003543824580321</v>
      </c>
      <c r="F238" s="339">
        <f t="shared" si="87"/>
        <v>2.6618708980672513E-2</v>
      </c>
      <c r="G238" s="338">
        <f t="shared" si="88"/>
        <v>1</v>
      </c>
      <c r="H238" s="339">
        <f t="shared" si="89"/>
        <v>0</v>
      </c>
      <c r="I238" s="337">
        <f t="shared" si="90"/>
        <v>1876.5966674467693</v>
      </c>
      <c r="J238" s="340">
        <f t="shared" si="91"/>
        <v>1.5702634472131123</v>
      </c>
      <c r="K238" s="348">
        <f t="shared" si="107"/>
        <v>2.4134800570922699</v>
      </c>
      <c r="L238" s="349">
        <f t="shared" si="108"/>
        <v>1.1435794250588156</v>
      </c>
      <c r="M238" s="337">
        <f t="shared" si="92"/>
        <v>1.0008974176332956</v>
      </c>
      <c r="N238" s="340">
        <f t="shared" si="93"/>
        <v>4.2349663867328739E-2</v>
      </c>
      <c r="O238" s="341">
        <f t="shared" si="94"/>
        <v>0.99995357661792872</v>
      </c>
      <c r="P238" s="342">
        <f t="shared" si="95"/>
        <v>1.7498757501393333E-2</v>
      </c>
      <c r="Q238" s="343">
        <f t="shared" si="96"/>
        <v>13.317214111246901</v>
      </c>
      <c r="R238" s="344">
        <f t="shared" si="97"/>
        <v>-114.70991112639925</v>
      </c>
      <c r="S238" s="346">
        <f t="shared" si="98"/>
        <v>65.290088873600752</v>
      </c>
      <c r="U238" s="319">
        <f t="shared" si="104"/>
        <v>1000000000</v>
      </c>
      <c r="V238" s="319">
        <f t="shared" si="105"/>
        <v>199515625</v>
      </c>
      <c r="X238" s="345">
        <f t="shared" si="99"/>
        <v>39.8848885013943</v>
      </c>
      <c r="Y238" s="346">
        <f t="shared" si="100"/>
        <v>-26.873650689210947</v>
      </c>
      <c r="AA238" s="345">
        <f t="shared" si="101"/>
        <v>30.265075767947614</v>
      </c>
      <c r="AB238" s="346">
        <f t="shared" si="102"/>
        <v>-87.836260437188301</v>
      </c>
      <c r="AD238">
        <f t="shared" si="106"/>
        <v>0</v>
      </c>
      <c r="AE238">
        <f t="shared" si="109"/>
        <v>0</v>
      </c>
    </row>
    <row r="239" spans="1:31" x14ac:dyDescent="0.2">
      <c r="A239" s="347">
        <v>14207.25</v>
      </c>
      <c r="B239" s="364">
        <f t="shared" si="103"/>
        <v>14.20725</v>
      </c>
      <c r="C239" s="337">
        <f t="shared" si="84"/>
        <v>35.1187233469443</v>
      </c>
      <c r="D239" s="338">
        <f t="shared" si="85"/>
        <v>1.5423176382182107</v>
      </c>
      <c r="E239" s="338">
        <f t="shared" si="86"/>
        <v>1.0003585208768864</v>
      </c>
      <c r="F239" s="339">
        <f t="shared" si="87"/>
        <v>2.6773636110818438E-2</v>
      </c>
      <c r="G239" s="338">
        <f t="shared" si="88"/>
        <v>1</v>
      </c>
      <c r="H239" s="339">
        <f t="shared" si="89"/>
        <v>0</v>
      </c>
      <c r="I239" s="337">
        <f t="shared" si="90"/>
        <v>1887.5241033543819</v>
      </c>
      <c r="J239" s="340">
        <f t="shared" si="91"/>
        <v>1.57026653221108</v>
      </c>
      <c r="K239" s="348">
        <f t="shared" si="107"/>
        <v>2.4251268612311487</v>
      </c>
      <c r="L239" s="349">
        <f t="shared" si="108"/>
        <v>1.1457647355308664</v>
      </c>
      <c r="M239" s="337">
        <f t="shared" si="92"/>
        <v>1.0009078946501833</v>
      </c>
      <c r="N239" s="340">
        <f t="shared" si="93"/>
        <v>4.2595969011441734E-2</v>
      </c>
      <c r="O239" s="341">
        <f t="shared" si="94"/>
        <v>0.99995303461876295</v>
      </c>
      <c r="P239" s="342">
        <f t="shared" si="95"/>
        <v>1.7600672954825827E-2</v>
      </c>
      <c r="Q239" s="343">
        <f t="shared" si="96"/>
        <v>13.258157277450426</v>
      </c>
      <c r="R239" s="344">
        <f t="shared" si="97"/>
        <v>-114.60544998909937</v>
      </c>
      <c r="S239" s="346">
        <f t="shared" si="98"/>
        <v>65.39455001090063</v>
      </c>
      <c r="U239" s="319">
        <f t="shared" si="104"/>
        <v>1000000000</v>
      </c>
      <c r="V239" s="319">
        <f t="shared" si="105"/>
        <v>201845952.5625</v>
      </c>
      <c r="X239" s="345">
        <f t="shared" si="99"/>
        <v>39.876181221196433</v>
      </c>
      <c r="Y239" s="346">
        <f t="shared" si="100"/>
        <v>-26.762730624703348</v>
      </c>
      <c r="AA239" s="345">
        <f t="shared" si="101"/>
        <v>30.214726214349</v>
      </c>
      <c r="AB239" s="346">
        <f t="shared" si="102"/>
        <v>-87.842719364396032</v>
      </c>
      <c r="AD239">
        <f t="shared" si="106"/>
        <v>0</v>
      </c>
      <c r="AE239">
        <f t="shared" si="109"/>
        <v>0</v>
      </c>
    </row>
    <row r="240" spans="1:31" x14ac:dyDescent="0.2">
      <c r="A240" s="347">
        <v>14289.5</v>
      </c>
      <c r="B240" s="364">
        <f t="shared" si="103"/>
        <v>14.2895</v>
      </c>
      <c r="C240" s="337">
        <f t="shared" si="84"/>
        <v>35.32187171659605</v>
      </c>
      <c r="D240" s="338">
        <f t="shared" si="85"/>
        <v>1.5424814729743395</v>
      </c>
      <c r="E240" s="338">
        <f t="shared" si="86"/>
        <v>1.0003626833065629</v>
      </c>
      <c r="F240" s="339">
        <f t="shared" si="87"/>
        <v>2.6928561955403968E-2</v>
      </c>
      <c r="G240" s="338">
        <f t="shared" si="88"/>
        <v>1</v>
      </c>
      <c r="H240" s="339">
        <f t="shared" si="89"/>
        <v>0</v>
      </c>
      <c r="I240" s="337">
        <f t="shared" si="90"/>
        <v>1898.4515392797514</v>
      </c>
      <c r="J240" s="340">
        <f t="shared" si="91"/>
        <v>1.5702695816947174</v>
      </c>
      <c r="K240" s="348">
        <f t="shared" si="107"/>
        <v>2.4367851360214616</v>
      </c>
      <c r="L240" s="349">
        <f t="shared" si="108"/>
        <v>1.1479291459604</v>
      </c>
      <c r="M240" s="337">
        <f t="shared" si="92"/>
        <v>1.0009184323871001</v>
      </c>
      <c r="N240" s="340">
        <f t="shared" si="93"/>
        <v>4.2842268984262161E-2</v>
      </c>
      <c r="O240" s="341">
        <f t="shared" si="94"/>
        <v>0.99995248947787507</v>
      </c>
      <c r="P240" s="342">
        <f t="shared" si="95"/>
        <v>1.7702588757198288E-2</v>
      </c>
      <c r="Q240" s="343">
        <f t="shared" si="96"/>
        <v>13.199522235845411</v>
      </c>
      <c r="R240" s="344">
        <f t="shared" si="97"/>
        <v>-114.50207486608693</v>
      </c>
      <c r="S240" s="346">
        <f t="shared" si="98"/>
        <v>65.497925133913071</v>
      </c>
      <c r="U240" s="319">
        <f t="shared" si="104"/>
        <v>1000000000</v>
      </c>
      <c r="V240" s="319">
        <f t="shared" si="105"/>
        <v>204189810.25</v>
      </c>
      <c r="X240" s="345">
        <f t="shared" si="99"/>
        <v>39.867605084469737</v>
      </c>
      <c r="Y240" s="346">
        <f t="shared" si="100"/>
        <v>-26.65300571331052</v>
      </c>
      <c r="AA240" s="345">
        <f t="shared" si="101"/>
        <v>30.16466730947068</v>
      </c>
      <c r="AB240" s="346">
        <f t="shared" si="102"/>
        <v>-87.84906915277638</v>
      </c>
      <c r="AD240">
        <f t="shared" si="106"/>
        <v>0</v>
      </c>
      <c r="AE240">
        <f t="shared" si="109"/>
        <v>0</v>
      </c>
    </row>
    <row r="241" spans="1:31" x14ac:dyDescent="0.2">
      <c r="A241" s="347">
        <v>14371.75</v>
      </c>
      <c r="B241" s="364">
        <f t="shared" si="103"/>
        <v>14.37175</v>
      </c>
      <c r="C241" s="337">
        <f t="shared" si="84"/>
        <v>35.525021023507968</v>
      </c>
      <c r="D241" s="338">
        <f t="shared" si="85"/>
        <v>1.542643433961518</v>
      </c>
      <c r="E241" s="338">
        <f t="shared" si="86"/>
        <v>1.0003668697467614</v>
      </c>
      <c r="F241" s="339">
        <f t="shared" si="87"/>
        <v>2.7083486507008123E-2</v>
      </c>
      <c r="G241" s="338">
        <f t="shared" si="88"/>
        <v>1</v>
      </c>
      <c r="H241" s="339">
        <f t="shared" si="89"/>
        <v>0</v>
      </c>
      <c r="I241" s="337">
        <f t="shared" si="90"/>
        <v>1909.378975222573</v>
      </c>
      <c r="J241" s="340">
        <f t="shared" si="91"/>
        <v>1.5702725962737731</v>
      </c>
      <c r="K241" s="348">
        <f t="shared" si="107"/>
        <v>2.448454717611289</v>
      </c>
      <c r="L241" s="349">
        <f t="shared" si="108"/>
        <v>1.1500729347574377</v>
      </c>
      <c r="M241" s="337">
        <f t="shared" si="92"/>
        <v>1.0009290308421284</v>
      </c>
      <c r="N241" s="340">
        <f t="shared" si="93"/>
        <v>4.3088563756070862E-2</v>
      </c>
      <c r="O241" s="341">
        <f t="shared" si="94"/>
        <v>0.99995194119535535</v>
      </c>
      <c r="P241" s="342">
        <f t="shared" si="95"/>
        <v>1.7804504910530462E-2</v>
      </c>
      <c r="Q241" s="343">
        <f t="shared" si="96"/>
        <v>13.14130306425329</v>
      </c>
      <c r="R241" s="344">
        <f t="shared" si="97"/>
        <v>-114.39977171284136</v>
      </c>
      <c r="S241" s="346">
        <f t="shared" si="98"/>
        <v>65.600228287158643</v>
      </c>
      <c r="U241" s="319">
        <f t="shared" si="104"/>
        <v>1000000000</v>
      </c>
      <c r="V241" s="319">
        <f t="shared" si="105"/>
        <v>206547198.0625</v>
      </c>
      <c r="X241" s="345">
        <f t="shared" si="99"/>
        <v>39.859157494675102</v>
      </c>
      <c r="Y241" s="346">
        <f t="shared" si="100"/>
        <v>-26.544460036546479</v>
      </c>
      <c r="AA241" s="345">
        <f t="shared" si="101"/>
        <v>30.114895727673201</v>
      </c>
      <c r="AB241" s="346">
        <f t="shared" si="102"/>
        <v>-87.855311676294889</v>
      </c>
      <c r="AD241">
        <f t="shared" si="106"/>
        <v>0</v>
      </c>
      <c r="AE241">
        <f t="shared" si="109"/>
        <v>0</v>
      </c>
    </row>
    <row r="242" spans="1:31" x14ac:dyDescent="0.2">
      <c r="A242" s="347">
        <v>14454</v>
      </c>
      <c r="B242" s="364">
        <f t="shared" si="103"/>
        <v>14.454000000000001</v>
      </c>
      <c r="C242" s="337">
        <f t="shared" si="84"/>
        <v>35.728171251692388</v>
      </c>
      <c r="D242" s="338">
        <f t="shared" si="85"/>
        <v>1.5428035531339033</v>
      </c>
      <c r="E242" s="338">
        <f t="shared" si="86"/>
        <v>1.0003710801971808</v>
      </c>
      <c r="F242" s="339">
        <f t="shared" si="87"/>
        <v>2.7238409758210309E-2</v>
      </c>
      <c r="G242" s="338">
        <f t="shared" si="88"/>
        <v>1</v>
      </c>
      <c r="H242" s="339">
        <f t="shared" si="89"/>
        <v>0</v>
      </c>
      <c r="I242" s="337">
        <f t="shared" si="90"/>
        <v>1920.306411182549</v>
      </c>
      <c r="J242" s="340">
        <f t="shared" si="91"/>
        <v>1.5702755765441172</v>
      </c>
      <c r="K242" s="348">
        <f t="shared" si="107"/>
        <v>2.4601354451002027</v>
      </c>
      <c r="L242" s="349">
        <f t="shared" si="108"/>
        <v>1.1521963758103264</v>
      </c>
      <c r="M242" s="337">
        <f t="shared" si="92"/>
        <v>1.0009396900133394</v>
      </c>
      <c r="N242" s="340">
        <f t="shared" si="93"/>
        <v>4.3334853297152531E-2</v>
      </c>
      <c r="O242" s="341">
        <f t="shared" si="94"/>
        <v>0.99995138977129416</v>
      </c>
      <c r="P242" s="342">
        <f t="shared" si="95"/>
        <v>1.7906421416842115E-2</v>
      </c>
      <c r="Q242" s="343">
        <f t="shared" si="96"/>
        <v>13.083493959227528</v>
      </c>
      <c r="R242" s="344">
        <f t="shared" si="97"/>
        <v>-114.29852670053391</v>
      </c>
      <c r="S242" s="346">
        <f t="shared" si="98"/>
        <v>65.701473299466087</v>
      </c>
      <c r="U242" s="319">
        <f t="shared" si="104"/>
        <v>1000000000</v>
      </c>
      <c r="V242" s="319">
        <f t="shared" si="105"/>
        <v>208918116</v>
      </c>
      <c r="X242" s="345">
        <f t="shared" si="99"/>
        <v>39.85083591725094</v>
      </c>
      <c r="Y242" s="346">
        <f t="shared" si="100"/>
        <v>-26.437077934203142</v>
      </c>
      <c r="AA242" s="345">
        <f t="shared" si="101"/>
        <v>30.065408200071598</v>
      </c>
      <c r="AB242" s="346">
        <f t="shared" si="102"/>
        <v>-87.861448766330753</v>
      </c>
      <c r="AD242">
        <f t="shared" si="106"/>
        <v>0</v>
      </c>
      <c r="AE242">
        <f t="shared" si="109"/>
        <v>0</v>
      </c>
    </row>
    <row r="243" spans="1:31" x14ac:dyDescent="0.2">
      <c r="A243" s="347">
        <v>14622.5</v>
      </c>
      <c r="B243" s="364">
        <f t="shared" si="103"/>
        <v>14.6225</v>
      </c>
      <c r="C243" s="337">
        <f t="shared" si="84"/>
        <v>36.144354165866851</v>
      </c>
      <c r="D243" s="338">
        <f t="shared" si="85"/>
        <v>1.5431259577234011</v>
      </c>
      <c r="E243" s="338">
        <f t="shared" si="86"/>
        <v>1.000379780838518</v>
      </c>
      <c r="F243" s="339">
        <f t="shared" si="87"/>
        <v>2.7555786429953349E-2</v>
      </c>
      <c r="G243" s="338">
        <f t="shared" si="88"/>
        <v>1</v>
      </c>
      <c r="H243" s="339">
        <f t="shared" si="89"/>
        <v>0</v>
      </c>
      <c r="I243" s="337">
        <f t="shared" si="90"/>
        <v>1942.6927086118706</v>
      </c>
      <c r="J243" s="340">
        <f t="shared" si="91"/>
        <v>1.5702815773238514</v>
      </c>
      <c r="K243" s="348">
        <f t="shared" si="107"/>
        <v>2.4840991029918529</v>
      </c>
      <c r="L243" s="349">
        <f t="shared" si="108"/>
        <v>1.1564841151002228</v>
      </c>
      <c r="M243" s="337">
        <f t="shared" si="92"/>
        <v>1.0009617163289763</v>
      </c>
      <c r="N243" s="340">
        <f t="shared" si="93"/>
        <v>4.3839393526646279E-2</v>
      </c>
      <c r="O243" s="341">
        <f t="shared" si="94"/>
        <v>0.9999502502962907</v>
      </c>
      <c r="P243" s="342">
        <f t="shared" si="95"/>
        <v>1.8115211966087386E-2</v>
      </c>
      <c r="Q243" s="343">
        <f t="shared" si="96"/>
        <v>12.966321059697687</v>
      </c>
      <c r="R243" s="344">
        <f t="shared" si="97"/>
        <v>-114.09436007617528</v>
      </c>
      <c r="S243" s="346">
        <f t="shared" si="98"/>
        <v>65.905639923824722</v>
      </c>
      <c r="U243" s="319">
        <f t="shared" si="104"/>
        <v>1000000000</v>
      </c>
      <c r="V243" s="319">
        <f t="shared" si="105"/>
        <v>213817506.25</v>
      </c>
      <c r="X243" s="345">
        <f t="shared" si="99"/>
        <v>39.834171209651792</v>
      </c>
      <c r="Y243" s="346">
        <f t="shared" si="100"/>
        <v>-26.220660414089487</v>
      </c>
      <c r="AA243" s="345">
        <f t="shared" si="101"/>
        <v>29.964900008140901</v>
      </c>
      <c r="AB243" s="346">
        <f t="shared" si="102"/>
        <v>-87.873699662085826</v>
      </c>
      <c r="AD243">
        <f t="shared" si="106"/>
        <v>0</v>
      </c>
      <c r="AE243">
        <f t="shared" si="109"/>
        <v>0</v>
      </c>
    </row>
    <row r="244" spans="1:31" x14ac:dyDescent="0.2">
      <c r="A244" s="347">
        <v>14706.75</v>
      </c>
      <c r="B244" s="364">
        <f t="shared" si="103"/>
        <v>14.70675</v>
      </c>
      <c r="C244" s="337">
        <f t="shared" si="84"/>
        <v>36.352447007640109</v>
      </c>
      <c r="D244" s="338">
        <f t="shared" si="85"/>
        <v>1.5432843917104191</v>
      </c>
      <c r="E244" s="338">
        <f t="shared" si="86"/>
        <v>1.00038416894602</v>
      </c>
      <c r="F244" s="339">
        <f t="shared" si="87"/>
        <v>2.7714472687592692E-2</v>
      </c>
      <c r="G244" s="338">
        <f t="shared" si="88"/>
        <v>1</v>
      </c>
      <c r="H244" s="339">
        <f t="shared" si="89"/>
        <v>0</v>
      </c>
      <c r="I244" s="337">
        <f t="shared" si="90"/>
        <v>1953.8858573523137</v>
      </c>
      <c r="J244" s="340">
        <f t="shared" si="91"/>
        <v>1.5702845261490739</v>
      </c>
      <c r="K244" s="348">
        <f t="shared" si="107"/>
        <v>2.4960978112655496</v>
      </c>
      <c r="L244" s="349">
        <f t="shared" si="108"/>
        <v>1.1585970921811746</v>
      </c>
      <c r="M244" s="337">
        <f t="shared" si="92"/>
        <v>1.0009728250357561</v>
      </c>
      <c r="N244" s="340">
        <f t="shared" si="93"/>
        <v>4.4091655282513992E-2</v>
      </c>
      <c r="O244" s="341">
        <f t="shared" si="94"/>
        <v>0.99994967561491022</v>
      </c>
      <c r="P244" s="342">
        <f t="shared" si="95"/>
        <v>1.8219607804847025E-2</v>
      </c>
      <c r="Q244" s="343">
        <f t="shared" si="96"/>
        <v>12.90835618207616</v>
      </c>
      <c r="R244" s="344">
        <f t="shared" si="97"/>
        <v>-113.9938848832154</v>
      </c>
      <c r="S244" s="346">
        <f t="shared" si="98"/>
        <v>66.006115116784599</v>
      </c>
      <c r="U244" s="319">
        <f t="shared" si="104"/>
        <v>1000000000</v>
      </c>
      <c r="V244" s="319">
        <f t="shared" si="105"/>
        <v>216288495.5625</v>
      </c>
      <c r="X244" s="345">
        <f t="shared" si="99"/>
        <v>39.826026858707252</v>
      </c>
      <c r="Y244" s="346">
        <f t="shared" si="100"/>
        <v>-26.114218234204987</v>
      </c>
      <c r="AA244" s="345">
        <f t="shared" si="101"/>
        <v>29.915079481463913</v>
      </c>
      <c r="AB244" s="346">
        <f t="shared" si="102"/>
        <v>-87.879666649010403</v>
      </c>
      <c r="AD244">
        <f t="shared" si="106"/>
        <v>0</v>
      </c>
      <c r="AE244">
        <f t="shared" si="109"/>
        <v>0</v>
      </c>
    </row>
    <row r="245" spans="1:31" x14ac:dyDescent="0.2">
      <c r="A245" s="347">
        <v>14791</v>
      </c>
      <c r="B245" s="364">
        <f t="shared" si="103"/>
        <v>14.791</v>
      </c>
      <c r="C245" s="337">
        <f t="shared" si="84"/>
        <v>36.560540751520705</v>
      </c>
      <c r="D245" s="338">
        <f t="shared" si="85"/>
        <v>1.5434410221655608</v>
      </c>
      <c r="E245" s="338">
        <f t="shared" si="86"/>
        <v>1.0003885822443028</v>
      </c>
      <c r="F245" s="339">
        <f t="shared" si="87"/>
        <v>2.7873157549112376E-2</v>
      </c>
      <c r="G245" s="338">
        <f t="shared" si="88"/>
        <v>1</v>
      </c>
      <c r="H245" s="339">
        <f t="shared" si="89"/>
        <v>0</v>
      </c>
      <c r="I245" s="337">
        <f t="shared" si="90"/>
        <v>1965.0790061095531</v>
      </c>
      <c r="J245" s="340">
        <f t="shared" si="91"/>
        <v>1.5702874413811032</v>
      </c>
      <c r="K245" s="348">
        <f t="shared" si="107"/>
        <v>2.5081075571411828</v>
      </c>
      <c r="L245" s="349">
        <f t="shared" si="108"/>
        <v>1.1606898431009163</v>
      </c>
      <c r="M245" s="337">
        <f t="shared" si="92"/>
        <v>1.00098399743902</v>
      </c>
      <c r="N245" s="340">
        <f t="shared" si="93"/>
        <v>4.4343911423234933E-2</v>
      </c>
      <c r="O245" s="341">
        <f t="shared" si="94"/>
        <v>0.99994909763774331</v>
      </c>
      <c r="P245" s="342">
        <f t="shared" si="95"/>
        <v>1.8324004022592232E-2</v>
      </c>
      <c r="Q245" s="343">
        <f t="shared" si="96"/>
        <v>12.850797978341495</v>
      </c>
      <c r="R245" s="344">
        <f t="shared" si="97"/>
        <v>-113.89446308439869</v>
      </c>
      <c r="S245" s="346">
        <f t="shared" si="98"/>
        <v>66.105536915601306</v>
      </c>
      <c r="U245" s="319">
        <f t="shared" si="104"/>
        <v>1000000000</v>
      </c>
      <c r="V245" s="319">
        <f t="shared" si="105"/>
        <v>218773681</v>
      </c>
      <c r="X245" s="345">
        <f t="shared" si="99"/>
        <v>39.818004526825071</v>
      </c>
      <c r="Y245" s="346">
        <f t="shared" si="100"/>
        <v>-26.008932681522513</v>
      </c>
      <c r="AA245" s="345">
        <f t="shared" si="101"/>
        <v>29.865543609611429</v>
      </c>
      <c r="AB245" s="346">
        <f t="shared" si="102"/>
        <v>-87.885530402876157</v>
      </c>
      <c r="AD245">
        <f t="shared" si="106"/>
        <v>0</v>
      </c>
      <c r="AE245">
        <f t="shared" si="109"/>
        <v>0</v>
      </c>
    </row>
    <row r="246" spans="1:31" x14ac:dyDescent="0.2">
      <c r="A246" s="347">
        <v>14877.25</v>
      </c>
      <c r="B246" s="364">
        <f t="shared" si="103"/>
        <v>14.87725</v>
      </c>
      <c r="C246" s="337">
        <f t="shared" si="84"/>
        <v>36.773575324729627</v>
      </c>
      <c r="D246" s="338">
        <f t="shared" si="85"/>
        <v>1.5435995345495923</v>
      </c>
      <c r="E246" s="338">
        <f t="shared" si="86"/>
        <v>1.0003931264038421</v>
      </c>
      <c r="F246" s="339">
        <f t="shared" si="87"/>
        <v>2.803560795576094E-2</v>
      </c>
      <c r="G246" s="338">
        <f t="shared" si="88"/>
        <v>1</v>
      </c>
      <c r="H246" s="339">
        <f t="shared" si="89"/>
        <v>0</v>
      </c>
      <c r="I246" s="337">
        <f t="shared" si="90"/>
        <v>1976.5378676140365</v>
      </c>
      <c r="J246" s="340">
        <f t="shared" si="91"/>
        <v>1.5702903916144748</v>
      </c>
      <c r="K246" s="348">
        <f t="shared" si="107"/>
        <v>2.5204136698448334</v>
      </c>
      <c r="L246" s="349">
        <f t="shared" si="108"/>
        <v>1.1628116043704722</v>
      </c>
      <c r="M246" s="337">
        <f t="shared" si="92"/>
        <v>1.0009955010428682</v>
      </c>
      <c r="N246" s="340">
        <f t="shared" si="93"/>
        <v>4.4602149990296477E-2</v>
      </c>
      <c r="O246" s="341">
        <f t="shared" si="94"/>
        <v>0.99994850252608181</v>
      </c>
      <c r="P246" s="342">
        <f t="shared" si="95"/>
        <v>1.8430878883683659E-2</v>
      </c>
      <c r="Q246" s="343">
        <f t="shared" si="96"/>
        <v>12.792288793161852</v>
      </c>
      <c r="R246" s="344">
        <f t="shared" si="97"/>
        <v>-113.79375798072563</v>
      </c>
      <c r="S246" s="346">
        <f t="shared" si="98"/>
        <v>66.20624201927437</v>
      </c>
      <c r="U246" s="319">
        <f t="shared" si="104"/>
        <v>1000000000</v>
      </c>
      <c r="V246" s="319">
        <f t="shared" si="105"/>
        <v>221332567.5625</v>
      </c>
      <c r="X246" s="345">
        <f t="shared" si="99"/>
        <v>39.809915633475924</v>
      </c>
      <c r="Y246" s="346">
        <f t="shared" si="100"/>
        <v>-25.902329731441736</v>
      </c>
      <c r="AA246" s="345">
        <f t="shared" si="101"/>
        <v>29.815123317780937</v>
      </c>
      <c r="AB246" s="346">
        <f t="shared" si="102"/>
        <v>-87.891428249283905</v>
      </c>
      <c r="AD246">
        <f t="shared" si="106"/>
        <v>0</v>
      </c>
      <c r="AE246">
        <f t="shared" si="109"/>
        <v>0</v>
      </c>
    </row>
    <row r="247" spans="1:31" x14ac:dyDescent="0.2">
      <c r="A247" s="347">
        <v>14963.5</v>
      </c>
      <c r="B247" s="364">
        <f t="shared" si="103"/>
        <v>14.9635</v>
      </c>
      <c r="C247" s="337">
        <f t="shared" si="84"/>
        <v>36.986610811274041</v>
      </c>
      <c r="D247" s="338">
        <f t="shared" si="85"/>
        <v>1.5437562209382159</v>
      </c>
      <c r="E247" s="338">
        <f t="shared" si="86"/>
        <v>1.0003976969636506</v>
      </c>
      <c r="F247" s="339">
        <f t="shared" si="87"/>
        <v>2.8198056882308257E-2</v>
      </c>
      <c r="G247" s="338">
        <f t="shared" si="88"/>
        <v>1</v>
      </c>
      <c r="H247" s="339">
        <f t="shared" si="89"/>
        <v>0</v>
      </c>
      <c r="I247" s="337">
        <f t="shared" si="90"/>
        <v>1987.9967291355251</v>
      </c>
      <c r="J247" s="340">
        <f t="shared" si="91"/>
        <v>1.5702933078374126</v>
      </c>
      <c r="K247" s="348">
        <f t="shared" si="107"/>
        <v>2.5327310188335677</v>
      </c>
      <c r="L247" s="349">
        <f t="shared" si="108"/>
        <v>1.164912737636417</v>
      </c>
      <c r="M247" s="337">
        <f t="shared" si="92"/>
        <v>1.001007071398724</v>
      </c>
      <c r="N247" s="340">
        <f t="shared" si="93"/>
        <v>4.4860382604766283E-2</v>
      </c>
      <c r="O247" s="341">
        <f t="shared" si="94"/>
        <v>0.99994790396051303</v>
      </c>
      <c r="P247" s="342">
        <f t="shared" si="95"/>
        <v>1.8537754146571502E-2</v>
      </c>
      <c r="Q247" s="343">
        <f t="shared" si="96"/>
        <v>12.73419398679243</v>
      </c>
      <c r="R247" s="344">
        <f t="shared" si="97"/>
        <v>-113.69412797088232</v>
      </c>
      <c r="S247" s="346">
        <f t="shared" si="98"/>
        <v>66.30587202911768</v>
      </c>
      <c r="U247" s="319">
        <f t="shared" si="104"/>
        <v>1000000000</v>
      </c>
      <c r="V247" s="319">
        <f t="shared" si="105"/>
        <v>223906332.25</v>
      </c>
      <c r="X247" s="345">
        <f t="shared" si="99"/>
        <v>39.801949566657768</v>
      </c>
      <c r="Y247" s="346">
        <f t="shared" si="100"/>
        <v>-25.796906389196295</v>
      </c>
      <c r="AA247" s="345">
        <f t="shared" si="101"/>
        <v>29.764994578229668</v>
      </c>
      <c r="AB247" s="346">
        <f t="shared" si="102"/>
        <v>-87.897221581686026</v>
      </c>
      <c r="AD247">
        <f t="shared" si="106"/>
        <v>0</v>
      </c>
      <c r="AE247">
        <f t="shared" si="109"/>
        <v>0</v>
      </c>
    </row>
    <row r="248" spans="1:31" x14ac:dyDescent="0.2">
      <c r="A248" s="347">
        <v>15049.75</v>
      </c>
      <c r="B248" s="364">
        <f t="shared" si="103"/>
        <v>15.04975</v>
      </c>
      <c r="C248" s="337">
        <f t="shared" si="84"/>
        <v>37.199647195462433</v>
      </c>
      <c r="D248" s="338">
        <f t="shared" si="85"/>
        <v>1.5439111126952156</v>
      </c>
      <c r="E248" s="338">
        <f t="shared" si="86"/>
        <v>1.0004022939233663</v>
      </c>
      <c r="F248" s="339">
        <f t="shared" si="87"/>
        <v>2.8360504320200729E-2</v>
      </c>
      <c r="G248" s="338">
        <f t="shared" si="88"/>
        <v>1</v>
      </c>
      <c r="H248" s="339">
        <f t="shared" si="89"/>
        <v>0</v>
      </c>
      <c r="I248" s="337">
        <f t="shared" si="90"/>
        <v>1999.4555906737264</v>
      </c>
      <c r="J248" s="340">
        <f t="shared" si="91"/>
        <v>1.5702961906346569</v>
      </c>
      <c r="K248" s="348">
        <f t="shared" si="107"/>
        <v>2.5450594409663148</v>
      </c>
      <c r="L248" s="349">
        <f t="shared" si="108"/>
        <v>1.1669935239808573</v>
      </c>
      <c r="M248" s="337">
        <f t="shared" si="92"/>
        <v>1.001018708504273</v>
      </c>
      <c r="N248" s="340">
        <f t="shared" si="93"/>
        <v>4.5118609232411351E-2</v>
      </c>
      <c r="O248" s="341">
        <f t="shared" si="94"/>
        <v>0.99994730194114545</v>
      </c>
      <c r="P248" s="342">
        <f t="shared" si="95"/>
        <v>1.8644629813584709E-2</v>
      </c>
      <c r="Q248" s="343">
        <f t="shared" si="96"/>
        <v>12.676507753452096</v>
      </c>
      <c r="R248" s="344">
        <f t="shared" si="97"/>
        <v>-113.59555877922806</v>
      </c>
      <c r="S248" s="346">
        <f t="shared" si="98"/>
        <v>66.404441220771943</v>
      </c>
      <c r="U248" s="319">
        <f t="shared" si="104"/>
        <v>1000000000</v>
      </c>
      <c r="V248" s="319">
        <f t="shared" si="105"/>
        <v>226494975.0625</v>
      </c>
      <c r="X248" s="345">
        <f t="shared" si="99"/>
        <v>39.794103861670699</v>
      </c>
      <c r="Y248" s="346">
        <f t="shared" si="100"/>
        <v>-25.692646581509528</v>
      </c>
      <c r="AA248" s="345">
        <f t="shared" si="101"/>
        <v>29.7151540498764</v>
      </c>
      <c r="AB248" s="346">
        <f t="shared" si="102"/>
        <v>-87.902912197718535</v>
      </c>
      <c r="AD248">
        <f t="shared" si="106"/>
        <v>0</v>
      </c>
      <c r="AE248">
        <f t="shared" si="109"/>
        <v>0</v>
      </c>
    </row>
    <row r="249" spans="1:31" x14ac:dyDescent="0.2">
      <c r="A249" s="347">
        <v>15136</v>
      </c>
      <c r="B249" s="364">
        <f t="shared" si="103"/>
        <v>15.135999999999999</v>
      </c>
      <c r="C249" s="337">
        <f t="shared" si="84"/>
        <v>37.412684461960616</v>
      </c>
      <c r="D249" s="338">
        <f t="shared" si="85"/>
        <v>1.5440642404703511</v>
      </c>
      <c r="E249" s="338">
        <f t="shared" si="86"/>
        <v>1.0004069172826253</v>
      </c>
      <c r="F249" s="339">
        <f t="shared" si="87"/>
        <v>2.8522950260885235E-2</v>
      </c>
      <c r="G249" s="338">
        <f t="shared" si="88"/>
        <v>1</v>
      </c>
      <c r="H249" s="339">
        <f t="shared" si="89"/>
        <v>0</v>
      </c>
      <c r="I249" s="337">
        <f t="shared" si="90"/>
        <v>2010.914452228355</v>
      </c>
      <c r="J249" s="340">
        <f t="shared" si="91"/>
        <v>1.57029904057762</v>
      </c>
      <c r="K249" s="348">
        <f t="shared" si="107"/>
        <v>2.5573987761025561</v>
      </c>
      <c r="L249" s="349">
        <f t="shared" si="108"/>
        <v>1.1690542397731556</v>
      </c>
      <c r="M249" s="337">
        <f t="shared" si="92"/>
        <v>1.0010304123571871</v>
      </c>
      <c r="N249" s="340">
        <f t="shared" si="93"/>
        <v>4.5376829839003464E-2</v>
      </c>
      <c r="O249" s="341">
        <f t="shared" si="94"/>
        <v>0.99994669646808865</v>
      </c>
      <c r="P249" s="342">
        <f t="shared" si="95"/>
        <v>1.8751505887052194E-2</v>
      </c>
      <c r="Q249" s="343">
        <f t="shared" si="96"/>
        <v>12.619224404169579</v>
      </c>
      <c r="R249" s="344">
        <f t="shared" si="97"/>
        <v>-113.4980363584685</v>
      </c>
      <c r="S249" s="346">
        <f t="shared" si="98"/>
        <v>66.501963641531503</v>
      </c>
      <c r="U249" s="319">
        <f t="shared" si="104"/>
        <v>1000000000</v>
      </c>
      <c r="V249" s="319">
        <f t="shared" si="105"/>
        <v>229098496</v>
      </c>
      <c r="X249" s="345">
        <f t="shared" si="99"/>
        <v>39.786376113511508</v>
      </c>
      <c r="Y249" s="346">
        <f t="shared" si="100"/>
        <v>-25.58953450436173</v>
      </c>
      <c r="AA249" s="345">
        <f t="shared" si="101"/>
        <v>29.665598448753077</v>
      </c>
      <c r="AB249" s="346">
        <f t="shared" si="102"/>
        <v>-87.908501854106774</v>
      </c>
      <c r="AD249">
        <f t="shared" si="106"/>
        <v>0</v>
      </c>
      <c r="AE249">
        <f t="shared" si="109"/>
        <v>0</v>
      </c>
    </row>
    <row r="250" spans="1:31" x14ac:dyDescent="0.2">
      <c r="A250" s="347">
        <v>15224</v>
      </c>
      <c r="B250" s="364">
        <f t="shared" si="103"/>
        <v>15.224</v>
      </c>
      <c r="C250" s="337">
        <f t="shared" si="84"/>
        <v>37.630045117516573</v>
      </c>
      <c r="D250" s="338">
        <f t="shared" si="85"/>
        <v>1.5442186882335291</v>
      </c>
      <c r="E250" s="338">
        <f t="shared" si="86"/>
        <v>1.0004116616572354</v>
      </c>
      <c r="F250" s="339">
        <f t="shared" si="87"/>
        <v>2.8688690654205668E-2</v>
      </c>
      <c r="G250" s="338">
        <f t="shared" si="88"/>
        <v>1</v>
      </c>
      <c r="H250" s="339">
        <f t="shared" si="89"/>
        <v>0</v>
      </c>
      <c r="I250" s="337">
        <f t="shared" si="90"/>
        <v>2022.605812439863</v>
      </c>
      <c r="J250" s="340">
        <f t="shared" si="91"/>
        <v>1.5703019150639552</v>
      </c>
      <c r="K250" s="348">
        <f t="shared" si="107"/>
        <v>2.5699995588425324</v>
      </c>
      <c r="L250" s="349">
        <f t="shared" si="108"/>
        <v>1.1711363636059751</v>
      </c>
      <c r="M250" s="337">
        <f t="shared" si="92"/>
        <v>1.0010424224696974</v>
      </c>
      <c r="N250" s="340">
        <f t="shared" si="93"/>
        <v>4.5640283463227724E-2</v>
      </c>
      <c r="O250" s="341">
        <f t="shared" si="94"/>
        <v>0.99994607515067246</v>
      </c>
      <c r="P250" s="342">
        <f t="shared" si="95"/>
        <v>1.8860550881885874E-2</v>
      </c>
      <c r="Q250" s="343">
        <f t="shared" si="96"/>
        <v>12.561188228469051</v>
      </c>
      <c r="R250" s="344">
        <f t="shared" si="97"/>
        <v>-113.39959972494687</v>
      </c>
      <c r="S250" s="346">
        <f t="shared" si="98"/>
        <v>66.600400275053133</v>
      </c>
      <c r="U250" s="319">
        <f t="shared" si="104"/>
        <v>1000000000</v>
      </c>
      <c r="V250" s="319">
        <f t="shared" si="105"/>
        <v>231770176</v>
      </c>
      <c r="X250" s="345">
        <f t="shared" si="99"/>
        <v>39.778610706595941</v>
      </c>
      <c r="Y250" s="346">
        <f t="shared" si="100"/>
        <v>-25.485497072899442</v>
      </c>
      <c r="AA250" s="345">
        <f t="shared" si="101"/>
        <v>29.615327679968111</v>
      </c>
      <c r="AB250" s="346">
        <f t="shared" si="102"/>
        <v>-87.914102652047418</v>
      </c>
      <c r="AD250">
        <f t="shared" si="106"/>
        <v>0</v>
      </c>
      <c r="AE250">
        <f t="shared" si="109"/>
        <v>0</v>
      </c>
    </row>
    <row r="251" spans="1:31" x14ac:dyDescent="0.2">
      <c r="A251" s="347">
        <v>15312</v>
      </c>
      <c r="B251" s="364">
        <f t="shared" si="103"/>
        <v>15.311999999999999</v>
      </c>
      <c r="C251" s="337">
        <f t="shared" si="84"/>
        <v>37.847406660393474</v>
      </c>
      <c r="D251" s="338">
        <f t="shared" si="85"/>
        <v>1.5443713619815873</v>
      </c>
      <c r="E251" s="338">
        <f t="shared" si="86"/>
        <v>1.0004164335127708</v>
      </c>
      <c r="F251" s="339">
        <f t="shared" si="87"/>
        <v>2.8854429470958894E-2</v>
      </c>
      <c r="G251" s="338">
        <f t="shared" si="88"/>
        <v>1</v>
      </c>
      <c r="H251" s="339">
        <f t="shared" si="89"/>
        <v>0</v>
      </c>
      <c r="I251" s="337">
        <f t="shared" si="90"/>
        <v>2034.2971726678911</v>
      </c>
      <c r="J251" s="340">
        <f t="shared" si="91"/>
        <v>1.5703047565102257</v>
      </c>
      <c r="K251" s="348">
        <f t="shared" si="107"/>
        <v>2.5826113743971981</v>
      </c>
      <c r="L251" s="349">
        <f t="shared" si="108"/>
        <v>1.1731981607930317</v>
      </c>
      <c r="M251" s="337">
        <f t="shared" si="92"/>
        <v>1.001054502060702</v>
      </c>
      <c r="N251" s="340">
        <f t="shared" si="93"/>
        <v>4.5903730747617506E-2</v>
      </c>
      <c r="O251" s="341">
        <f t="shared" si="94"/>
        <v>0.99994545023822734</v>
      </c>
      <c r="P251" s="342">
        <f t="shared" si="95"/>
        <v>1.8969596304732921E-2</v>
      </c>
      <c r="Q251" s="343">
        <f t="shared" si="96"/>
        <v>12.503559845902057</v>
      </c>
      <c r="R251" s="344">
        <f t="shared" si="97"/>
        <v>-113.3022239374131</v>
      </c>
      <c r="S251" s="346">
        <f t="shared" si="98"/>
        <v>66.697776062586897</v>
      </c>
      <c r="U251" s="319">
        <f t="shared" si="104"/>
        <v>1000000000</v>
      </c>
      <c r="V251" s="319">
        <f t="shared" si="105"/>
        <v>234457344</v>
      </c>
      <c r="X251" s="345">
        <f t="shared" si="99"/>
        <v>39.770963216433771</v>
      </c>
      <c r="Y251" s="346">
        <f t="shared" si="100"/>
        <v>-25.382622016150332</v>
      </c>
      <c r="AA251" s="345">
        <f t="shared" si="101"/>
        <v>29.565346787563293</v>
      </c>
      <c r="AB251" s="346">
        <f t="shared" si="102"/>
        <v>-87.919601921262768</v>
      </c>
      <c r="AD251">
        <f t="shared" si="106"/>
        <v>0</v>
      </c>
      <c r="AE251">
        <f t="shared" si="109"/>
        <v>0</v>
      </c>
    </row>
    <row r="252" spans="1:31" x14ac:dyDescent="0.2">
      <c r="A252" s="347">
        <v>15400</v>
      </c>
      <c r="B252" s="364">
        <f t="shared" si="103"/>
        <v>15.4</v>
      </c>
      <c r="C252" s="337">
        <f t="shared" si="84"/>
        <v>38.0647690753907</v>
      </c>
      <c r="D252" s="338">
        <f t="shared" si="85"/>
        <v>1.5445222920979842</v>
      </c>
      <c r="E252" s="338">
        <f t="shared" si="86"/>
        <v>1.000421232848838</v>
      </c>
      <c r="F252" s="339">
        <f t="shared" si="87"/>
        <v>2.9020166702062061E-2</v>
      </c>
      <c r="G252" s="338">
        <f t="shared" si="88"/>
        <v>1</v>
      </c>
      <c r="H252" s="339">
        <f t="shared" si="89"/>
        <v>0</v>
      </c>
      <c r="I252" s="337">
        <f t="shared" si="90"/>
        <v>2045.9885329121564</v>
      </c>
      <c r="J252" s="340">
        <f t="shared" si="91"/>
        <v>1.5703075654828322</v>
      </c>
      <c r="K252" s="348">
        <f t="shared" si="107"/>
        <v>2.5952340619211536</v>
      </c>
      <c r="L252" s="349">
        <f t="shared" si="108"/>
        <v>1.1752399102699878</v>
      </c>
      <c r="M252" s="337">
        <f t="shared" si="92"/>
        <v>1.001066651127686</v>
      </c>
      <c r="N252" s="340">
        <f t="shared" si="93"/>
        <v>4.6167171655834151E-2</v>
      </c>
      <c r="O252" s="341">
        <f t="shared" si="94"/>
        <v>0.9999448217308714</v>
      </c>
      <c r="P252" s="342">
        <f t="shared" si="95"/>
        <v>1.9078642158066903E-2</v>
      </c>
      <c r="Q252" s="343">
        <f t="shared" si="96"/>
        <v>12.446333571178055</v>
      </c>
      <c r="R252" s="344">
        <f t="shared" si="97"/>
        <v>-113.20589478590745</v>
      </c>
      <c r="S252" s="346">
        <f t="shared" si="98"/>
        <v>66.794105214092554</v>
      </c>
      <c r="U252" s="319">
        <f t="shared" si="104"/>
        <v>1000000000</v>
      </c>
      <c r="V252" s="319">
        <f t="shared" si="105"/>
        <v>237160000</v>
      </c>
      <c r="X252" s="345">
        <f t="shared" si="99"/>
        <v>39.763431270089178</v>
      </c>
      <c r="Y252" s="346">
        <f t="shared" si="100"/>
        <v>-25.28089338264849</v>
      </c>
      <c r="AA252" s="345">
        <f t="shared" si="101"/>
        <v>29.515652459183883</v>
      </c>
      <c r="AB252" s="346">
        <f t="shared" si="102"/>
        <v>-87.925001403258946</v>
      </c>
      <c r="AD252">
        <f t="shared" si="106"/>
        <v>0</v>
      </c>
      <c r="AE252">
        <f t="shared" si="109"/>
        <v>0</v>
      </c>
    </row>
    <row r="253" spans="1:31" x14ac:dyDescent="0.2">
      <c r="A253" s="347">
        <v>15488</v>
      </c>
      <c r="B253" s="364">
        <f t="shared" si="103"/>
        <v>15.488</v>
      </c>
      <c r="C253" s="337">
        <f t="shared" si="84"/>
        <v>38.282132347652791</v>
      </c>
      <c r="D253" s="338">
        <f t="shared" si="85"/>
        <v>1.5446715082764411</v>
      </c>
      <c r="E253" s="338">
        <f t="shared" si="86"/>
        <v>1.0004260596650416</v>
      </c>
      <c r="F253" s="339">
        <f t="shared" si="87"/>
        <v>2.918590233843284E-2</v>
      </c>
      <c r="G253" s="338">
        <f t="shared" si="88"/>
        <v>1</v>
      </c>
      <c r="H253" s="339">
        <f t="shared" si="89"/>
        <v>0</v>
      </c>
      <c r="I253" s="337">
        <f t="shared" si="90"/>
        <v>2057.6798931723815</v>
      </c>
      <c r="J253" s="340">
        <f t="shared" si="91"/>
        <v>1.5703103425353033</v>
      </c>
      <c r="K253" s="348">
        <f t="shared" si="107"/>
        <v>2.6078674635457944</v>
      </c>
      <c r="L253" s="349">
        <f t="shared" si="108"/>
        <v>1.1772618862430566</v>
      </c>
      <c r="M253" s="337">
        <f t="shared" si="92"/>
        <v>1.0010788696681197</v>
      </c>
      <c r="N253" s="340">
        <f t="shared" si="93"/>
        <v>4.6430606151544263E-2</v>
      </c>
      <c r="O253" s="341">
        <f t="shared" si="94"/>
        <v>0.99994418962872311</v>
      </c>
      <c r="P253" s="342">
        <f t="shared" si="95"/>
        <v>1.9187688444361379E-2</v>
      </c>
      <c r="Q253" s="343">
        <f t="shared" si="96"/>
        <v>12.389503833140637</v>
      </c>
      <c r="R253" s="344">
        <f t="shared" si="97"/>
        <v>-113.11059829119124</v>
      </c>
      <c r="S253" s="346">
        <f t="shared" si="98"/>
        <v>66.889401708808762</v>
      </c>
      <c r="U253" s="319">
        <f t="shared" si="104"/>
        <v>1000000000</v>
      </c>
      <c r="V253" s="319">
        <f t="shared" si="105"/>
        <v>239878144</v>
      </c>
      <c r="X253" s="345">
        <f t="shared" si="99"/>
        <v>39.756012552295601</v>
      </c>
      <c r="Y253" s="346">
        <f t="shared" si="100"/>
        <v>-25.180295491168266</v>
      </c>
      <c r="AA253" s="345">
        <f t="shared" si="101"/>
        <v>29.466241438940042</v>
      </c>
      <c r="AB253" s="346">
        <f t="shared" si="102"/>
        <v>-87.930302800022943</v>
      </c>
      <c r="AD253">
        <f t="shared" si="106"/>
        <v>0</v>
      </c>
      <c r="AE253">
        <f t="shared" si="109"/>
        <v>0</v>
      </c>
    </row>
    <row r="254" spans="1:31" x14ac:dyDescent="0.2">
      <c r="A254" s="347">
        <v>15578.25</v>
      </c>
      <c r="B254" s="364">
        <f t="shared" si="103"/>
        <v>15.578250000000001</v>
      </c>
      <c r="C254" s="337">
        <f t="shared" si="84"/>
        <v>38.505054078795801</v>
      </c>
      <c r="D254" s="338">
        <f t="shared" si="85"/>
        <v>1.5448227898082763</v>
      </c>
      <c r="E254" s="338">
        <f t="shared" si="86"/>
        <v>1.0004310384367874</v>
      </c>
      <c r="F254" s="339">
        <f t="shared" si="87"/>
        <v>2.9355873867759369E-2</v>
      </c>
      <c r="G254" s="338">
        <f t="shared" si="88"/>
        <v>1</v>
      </c>
      <c r="H254" s="339">
        <f t="shared" si="89"/>
        <v>0</v>
      </c>
      <c r="I254" s="337">
        <f t="shared" si="90"/>
        <v>2069.6701802737357</v>
      </c>
      <c r="J254" s="340">
        <f t="shared" si="91"/>
        <v>1.5703131580038303</v>
      </c>
      <c r="K254" s="348">
        <f t="shared" si="107"/>
        <v>2.6208348444898317</v>
      </c>
      <c r="L254" s="349">
        <f t="shared" si="108"/>
        <v>1.1793153044893447</v>
      </c>
      <c r="M254" s="337">
        <f t="shared" si="92"/>
        <v>1.001091472772375</v>
      </c>
      <c r="N254" s="340">
        <f t="shared" si="93"/>
        <v>4.6700769489746392E-2</v>
      </c>
      <c r="O254" s="341">
        <f t="shared" si="94"/>
        <v>0.99994353763116173</v>
      </c>
      <c r="P254" s="342">
        <f t="shared" si="95"/>
        <v>1.9299523298228573E-2</v>
      </c>
      <c r="Q254" s="343">
        <f t="shared" si="96"/>
        <v>12.331627217692221</v>
      </c>
      <c r="R254" s="344">
        <f t="shared" si="97"/>
        <v>-113.01392343266907</v>
      </c>
      <c r="S254" s="346">
        <f t="shared" si="98"/>
        <v>66.986076567330926</v>
      </c>
      <c r="U254" s="319">
        <f t="shared" si="104"/>
        <v>1000000000</v>
      </c>
      <c r="V254" s="319">
        <f t="shared" si="105"/>
        <v>242681873.0625</v>
      </c>
      <c r="X254" s="345">
        <f t="shared" si="99"/>
        <v>39.748519393261738</v>
      </c>
      <c r="Y254" s="346">
        <f t="shared" si="100"/>
        <v>-25.078283825486327</v>
      </c>
      <c r="AA254" s="345">
        <f t="shared" si="101"/>
        <v>29.415857982525488</v>
      </c>
      <c r="AB254" s="346">
        <f t="shared" si="102"/>
        <v>-87.935639607182722</v>
      </c>
      <c r="AD254">
        <f t="shared" si="106"/>
        <v>0</v>
      </c>
      <c r="AE254">
        <f t="shared" si="109"/>
        <v>0</v>
      </c>
    </row>
    <row r="255" spans="1:31" x14ac:dyDescent="0.2">
      <c r="A255" s="347">
        <v>15668.5</v>
      </c>
      <c r="B255" s="364">
        <f t="shared" si="103"/>
        <v>15.6685</v>
      </c>
      <c r="C255" s="337">
        <f t="shared" si="84"/>
        <v>38.727976681024515</v>
      </c>
      <c r="D255" s="338">
        <f t="shared" si="85"/>
        <v>1.544972329756378</v>
      </c>
      <c r="E255" s="338">
        <f t="shared" si="86"/>
        <v>1.0004360461110187</v>
      </c>
      <c r="F255" s="339">
        <f t="shared" si="87"/>
        <v>2.9525843700414209E-2</v>
      </c>
      <c r="G255" s="338">
        <f t="shared" si="88"/>
        <v>1</v>
      </c>
      <c r="H255" s="339">
        <f t="shared" si="89"/>
        <v>0</v>
      </c>
      <c r="I255" s="337">
        <f t="shared" si="90"/>
        <v>2081.6604673913071</v>
      </c>
      <c r="J255" s="340">
        <f t="shared" si="91"/>
        <v>1.5703159410383689</v>
      </c>
      <c r="K255" s="348">
        <f t="shared" si="107"/>
        <v>2.6338131674106453</v>
      </c>
      <c r="L255" s="349">
        <f t="shared" si="108"/>
        <v>1.1813484944764052</v>
      </c>
      <c r="M255" s="337">
        <f t="shared" si="92"/>
        <v>1.0011041489426813</v>
      </c>
      <c r="N255" s="340">
        <f t="shared" si="93"/>
        <v>4.6970926005947662E-2</v>
      </c>
      <c r="O255" s="341">
        <f t="shared" si="94"/>
        <v>0.99994288185288904</v>
      </c>
      <c r="P255" s="342">
        <f t="shared" si="95"/>
        <v>1.9411358612749129E-2</v>
      </c>
      <c r="Q255" s="343">
        <f t="shared" si="96"/>
        <v>12.274156162253551</v>
      </c>
      <c r="R255" s="344">
        <f t="shared" si="97"/>
        <v>-112.91830565703431</v>
      </c>
      <c r="S255" s="346">
        <f t="shared" si="98"/>
        <v>67.08169434296569</v>
      </c>
      <c r="U255" s="319">
        <f t="shared" si="104"/>
        <v>1000000000</v>
      </c>
      <c r="V255" s="319">
        <f t="shared" si="105"/>
        <v>245501892.25</v>
      </c>
      <c r="X255" s="345">
        <f t="shared" si="99"/>
        <v>39.741140573383618</v>
      </c>
      <c r="Y255" s="346">
        <f t="shared" si="100"/>
        <v>-24.977428904483855</v>
      </c>
      <c r="AA255" s="345">
        <f t="shared" si="101"/>
        <v>29.365765746964946</v>
      </c>
      <c r="AB255" s="346">
        <f t="shared" si="102"/>
        <v>-87.940876752550423</v>
      </c>
      <c r="AD255">
        <f t="shared" si="106"/>
        <v>0</v>
      </c>
      <c r="AE255">
        <f t="shared" si="109"/>
        <v>0</v>
      </c>
    </row>
    <row r="256" spans="1:31" x14ac:dyDescent="0.2">
      <c r="A256" s="347">
        <v>15758.75</v>
      </c>
      <c r="B256" s="364">
        <f t="shared" si="103"/>
        <v>15.758749999999999</v>
      </c>
      <c r="C256" s="337">
        <f t="shared" si="84"/>
        <v>38.950900139382803</v>
      </c>
      <c r="D256" s="338">
        <f t="shared" si="85"/>
        <v>1.5451201580162517</v>
      </c>
      <c r="E256" s="338">
        <f t="shared" si="86"/>
        <v>1.0004410826873011</v>
      </c>
      <c r="F256" s="339">
        <f t="shared" si="87"/>
        <v>2.9695811826602147E-2</v>
      </c>
      <c r="G256" s="338">
        <f t="shared" si="88"/>
        <v>1</v>
      </c>
      <c r="H256" s="339">
        <f t="shared" si="89"/>
        <v>0</v>
      </c>
      <c r="I256" s="337">
        <f t="shared" si="90"/>
        <v>2093.6507545248169</v>
      </c>
      <c r="J256" s="340">
        <f t="shared" si="91"/>
        <v>1.5703186921961645</v>
      </c>
      <c r="K256" s="348">
        <f t="shared" si="107"/>
        <v>2.6468022713496637</v>
      </c>
      <c r="L256" s="349">
        <f t="shared" si="108"/>
        <v>1.1833617370784504</v>
      </c>
      <c r="M256" s="337">
        <f t="shared" si="92"/>
        <v>1.0011168981762633</v>
      </c>
      <c r="N256" s="340">
        <f t="shared" si="93"/>
        <v>4.7241075660973464E-2</v>
      </c>
      <c r="O256" s="341">
        <f t="shared" si="94"/>
        <v>0.9999422222940354</v>
      </c>
      <c r="P256" s="342">
        <f t="shared" si="95"/>
        <v>1.9523194390591195E-2</v>
      </c>
      <c r="Q256" s="343">
        <f t="shared" si="96"/>
        <v>12.217085012507294</v>
      </c>
      <c r="R256" s="344">
        <f t="shared" si="97"/>
        <v>-112.82373061466357</v>
      </c>
      <c r="S256" s="346">
        <f t="shared" si="98"/>
        <v>67.176269385336425</v>
      </c>
      <c r="U256" s="319">
        <f t="shared" si="104"/>
        <v>1000000000</v>
      </c>
      <c r="V256" s="319">
        <f t="shared" si="105"/>
        <v>248338201.5625</v>
      </c>
      <c r="X256" s="345">
        <f t="shared" si="99"/>
        <v>39.733873773644191</v>
      </c>
      <c r="Y256" s="346">
        <f t="shared" si="100"/>
        <v>-24.877714664937141</v>
      </c>
      <c r="AA256" s="345">
        <f t="shared" si="101"/>
        <v>29.315961396958109</v>
      </c>
      <c r="AB256" s="346">
        <f t="shared" si="102"/>
        <v>-87.946015949726416</v>
      </c>
      <c r="AD256">
        <f t="shared" si="106"/>
        <v>0</v>
      </c>
      <c r="AE256">
        <f t="shared" si="109"/>
        <v>0</v>
      </c>
    </row>
    <row r="257" spans="1:31" x14ac:dyDescent="0.2">
      <c r="A257" s="347">
        <v>15849</v>
      </c>
      <c r="B257" s="364">
        <f t="shared" si="103"/>
        <v>15.849</v>
      </c>
      <c r="C257" s="337">
        <f t="shared" si="84"/>
        <v>39.17382443925495</v>
      </c>
      <c r="D257" s="338">
        <f t="shared" si="85"/>
        <v>1.5452663038032064</v>
      </c>
      <c r="E257" s="338">
        <f t="shared" si="86"/>
        <v>1.0004461481651987</v>
      </c>
      <c r="F257" s="339">
        <f t="shared" si="87"/>
        <v>2.9865778236528556E-2</v>
      </c>
      <c r="G257" s="338">
        <f t="shared" si="88"/>
        <v>1</v>
      </c>
      <c r="H257" s="339">
        <f t="shared" si="89"/>
        <v>0</v>
      </c>
      <c r="I257" s="337">
        <f t="shared" si="90"/>
        <v>2105.6410416739932</v>
      </c>
      <c r="J257" s="340">
        <f t="shared" si="91"/>
        <v>1.570321412021771</v>
      </c>
      <c r="K257" s="348">
        <f t="shared" si="107"/>
        <v>2.6598019983600603</v>
      </c>
      <c r="L257" s="349">
        <f t="shared" si="108"/>
        <v>1.1853553083322774</v>
      </c>
      <c r="M257" s="337">
        <f t="shared" si="92"/>
        <v>1.0011297204703293</v>
      </c>
      <c r="N257" s="340">
        <f t="shared" si="93"/>
        <v>4.7511218415655185E-2</v>
      </c>
      <c r="O257" s="341">
        <f t="shared" si="94"/>
        <v>0.99994155895473169</v>
      </c>
      <c r="P257" s="342">
        <f t="shared" si="95"/>
        <v>1.9635030634422918E-2</v>
      </c>
      <c r="Q257" s="343">
        <f t="shared" si="96"/>
        <v>12.160408227952699</v>
      </c>
      <c r="R257" s="344">
        <f t="shared" si="97"/>
        <v>-112.73018419339786</v>
      </c>
      <c r="S257" s="346">
        <f t="shared" si="98"/>
        <v>67.269815806602139</v>
      </c>
      <c r="U257" s="319">
        <f t="shared" si="104"/>
        <v>1000000000</v>
      </c>
      <c r="V257" s="319">
        <f t="shared" si="105"/>
        <v>251190801</v>
      </c>
      <c r="X257" s="345">
        <f t="shared" si="99"/>
        <v>39.726716731853941</v>
      </c>
      <c r="Y257" s="346">
        <f t="shared" si="100"/>
        <v>-24.779125320059165</v>
      </c>
      <c r="AA257" s="345">
        <f t="shared" si="101"/>
        <v>29.266441654193763</v>
      </c>
      <c r="AB257" s="346">
        <f t="shared" si="102"/>
        <v>-87.951058873338681</v>
      </c>
      <c r="AD257">
        <f t="shared" si="106"/>
        <v>0</v>
      </c>
      <c r="AE257">
        <f t="shared" si="109"/>
        <v>0</v>
      </c>
    </row>
    <row r="258" spans="1:31" x14ac:dyDescent="0.2">
      <c r="A258" s="347">
        <v>15941.25</v>
      </c>
      <c r="B258" s="364">
        <f t="shared" si="103"/>
        <v>15.94125</v>
      </c>
      <c r="C258" s="337">
        <f t="shared" si="84"/>
        <v>39.401689744639491</v>
      </c>
      <c r="D258" s="338">
        <f t="shared" si="85"/>
        <v>1.5454139791896349</v>
      </c>
      <c r="E258" s="338">
        <f t="shared" si="86"/>
        <v>1.0004513557664274</v>
      </c>
      <c r="F258" s="339">
        <f t="shared" si="87"/>
        <v>3.0039509431166029E-2</v>
      </c>
      <c r="G258" s="338">
        <f t="shared" si="88"/>
        <v>1</v>
      </c>
      <c r="H258" s="339">
        <f t="shared" si="89"/>
        <v>0</v>
      </c>
      <c r="I258" s="337">
        <f t="shared" si="90"/>
        <v>2117.8970415736908</v>
      </c>
      <c r="J258" s="340">
        <f t="shared" si="91"/>
        <v>1.5703241602931606</v>
      </c>
      <c r="K258" s="348">
        <f t="shared" si="107"/>
        <v>2.673100625405759</v>
      </c>
      <c r="L258" s="349">
        <f t="shared" si="108"/>
        <v>1.1873730107999614</v>
      </c>
      <c r="M258" s="337">
        <f t="shared" si="92"/>
        <v>1.0011429024190615</v>
      </c>
      <c r="N258" s="340">
        <f t="shared" si="93"/>
        <v>4.7787340541191235E-2</v>
      </c>
      <c r="O258" s="341">
        <f t="shared" si="94"/>
        <v>0.99994087700848111</v>
      </c>
      <c r="P258" s="342">
        <f t="shared" si="95"/>
        <v>1.9749345728140803E-2</v>
      </c>
      <c r="Q258" s="343">
        <f t="shared" si="96"/>
        <v>12.102877367050347</v>
      </c>
      <c r="R258" s="344">
        <f t="shared" si="97"/>
        <v>-112.63561333891585</v>
      </c>
      <c r="S258" s="346">
        <f t="shared" si="98"/>
        <v>67.364386661084154</v>
      </c>
      <c r="U258" s="319">
        <f t="shared" si="104"/>
        <v>1000000000</v>
      </c>
      <c r="V258" s="319">
        <f t="shared" si="105"/>
        <v>254123451.5625</v>
      </c>
      <c r="X258" s="345">
        <f t="shared" si="99"/>
        <v>39.71951222119489</v>
      </c>
      <c r="Y258" s="346">
        <f t="shared" si="100"/>
        <v>-24.679497581008878</v>
      </c>
      <c r="AA258" s="345">
        <f t="shared" si="101"/>
        <v>29.21611530395047</v>
      </c>
      <c r="AB258" s="346">
        <f t="shared" si="102"/>
        <v>-87.956115757906957</v>
      </c>
      <c r="AD258">
        <f t="shared" si="106"/>
        <v>0</v>
      </c>
      <c r="AE258">
        <f t="shared" si="109"/>
        <v>0</v>
      </c>
    </row>
    <row r="259" spans="1:31" x14ac:dyDescent="0.2">
      <c r="A259" s="347">
        <v>16033.5</v>
      </c>
      <c r="B259" s="364">
        <f t="shared" si="103"/>
        <v>16.0335</v>
      </c>
      <c r="C259" s="337">
        <f t="shared" si="84"/>
        <v>39.629555899415415</v>
      </c>
      <c r="D259" s="338">
        <f t="shared" si="85"/>
        <v>1.5455599563405304</v>
      </c>
      <c r="E259" s="338">
        <f t="shared" si="86"/>
        <v>1.0004565935634921</v>
      </c>
      <c r="F259" s="339">
        <f t="shared" si="87"/>
        <v>3.0213238811940157E-2</v>
      </c>
      <c r="G259" s="338">
        <f t="shared" si="88"/>
        <v>1</v>
      </c>
      <c r="H259" s="339">
        <f t="shared" si="89"/>
        <v>0</v>
      </c>
      <c r="I259" s="337">
        <f t="shared" si="90"/>
        <v>2130.1530414892004</v>
      </c>
      <c r="J259" s="340">
        <f t="shared" si="91"/>
        <v>1.5703268769397671</v>
      </c>
      <c r="K259" s="348">
        <f t="shared" si="107"/>
        <v>2.6864100272036233</v>
      </c>
      <c r="L259" s="349">
        <f t="shared" si="108"/>
        <v>1.1893707285457706</v>
      </c>
      <c r="M259" s="337">
        <f t="shared" si="92"/>
        <v>1.0011561606963471</v>
      </c>
      <c r="N259" s="340">
        <f t="shared" si="93"/>
        <v>4.8063455374426772E-2</v>
      </c>
      <c r="O259" s="341">
        <f t="shared" si="94"/>
        <v>0.99994019111264909</v>
      </c>
      <c r="P259" s="342">
        <f t="shared" si="95"/>
        <v>1.9863661314367627E-2</v>
      </c>
      <c r="Q259" s="343">
        <f t="shared" si="96"/>
        <v>12.045747189350397</v>
      </c>
      <c r="R259" s="344">
        <f t="shared" si="97"/>
        <v>-112.54208812528529</v>
      </c>
      <c r="S259" s="346">
        <f t="shared" si="98"/>
        <v>67.457911874714711</v>
      </c>
      <c r="U259" s="319">
        <f t="shared" si="104"/>
        <v>1000000000</v>
      </c>
      <c r="V259" s="319">
        <f t="shared" si="105"/>
        <v>257073122.25</v>
      </c>
      <c r="X259" s="345">
        <f t="shared" si="99"/>
        <v>39.71241778223385</v>
      </c>
      <c r="Y259" s="346">
        <f t="shared" si="100"/>
        <v>-24.581012652393422</v>
      </c>
      <c r="AA259" s="345">
        <f t="shared" si="101"/>
        <v>29.166079565211554</v>
      </c>
      <c r="AB259" s="346">
        <f t="shared" si="102"/>
        <v>-87.961075472891892</v>
      </c>
      <c r="AD259">
        <f t="shared" si="106"/>
        <v>0</v>
      </c>
      <c r="AE259">
        <f t="shared" si="109"/>
        <v>0</v>
      </c>
    </row>
    <row r="260" spans="1:31" x14ac:dyDescent="0.2">
      <c r="A260" s="347">
        <v>16125.75</v>
      </c>
      <c r="B260" s="364">
        <f t="shared" si="103"/>
        <v>16.12575</v>
      </c>
      <c r="C260" s="337">
        <f t="shared" si="84"/>
        <v>39.857422889014728</v>
      </c>
      <c r="D260" s="338">
        <f t="shared" si="85"/>
        <v>1.5457042643763248</v>
      </c>
      <c r="E260" s="338">
        <f t="shared" si="86"/>
        <v>1.0004618615559187</v>
      </c>
      <c r="F260" s="339">
        <f t="shared" si="87"/>
        <v>3.0386966368392554E-2</v>
      </c>
      <c r="G260" s="338">
        <f t="shared" si="88"/>
        <v>1</v>
      </c>
      <c r="H260" s="339">
        <f t="shared" si="89"/>
        <v>0</v>
      </c>
      <c r="I260" s="337">
        <f t="shared" si="90"/>
        <v>2142.409041420251</v>
      </c>
      <c r="J260" s="340">
        <f t="shared" si="91"/>
        <v>1.570329562504335</v>
      </c>
      <c r="K260" s="348">
        <f t="shared" si="107"/>
        <v>2.6997300443982741</v>
      </c>
      <c r="L260" s="349">
        <f t="shared" si="108"/>
        <v>1.1913487413093289</v>
      </c>
      <c r="M260" s="337">
        <f t="shared" si="92"/>
        <v>1.0011694952991539</v>
      </c>
      <c r="N260" s="340">
        <f t="shared" si="93"/>
        <v>4.8339562873550672E-2</v>
      </c>
      <c r="O260" s="341">
        <f t="shared" si="94"/>
        <v>0.99993950126737785</v>
      </c>
      <c r="P260" s="342">
        <f t="shared" si="95"/>
        <v>1.9977977395952834E-2</v>
      </c>
      <c r="Q260" s="343">
        <f t="shared" si="96"/>
        <v>11.98901212781835</v>
      </c>
      <c r="R260" s="344">
        <f t="shared" si="97"/>
        <v>-112.44959422254809</v>
      </c>
      <c r="S260" s="346">
        <f t="shared" si="98"/>
        <v>67.550405777451914</v>
      </c>
      <c r="U260" s="319">
        <f t="shared" si="104"/>
        <v>1000000000</v>
      </c>
      <c r="V260" s="319">
        <f t="shared" si="105"/>
        <v>260039813.0625</v>
      </c>
      <c r="X260" s="345">
        <f t="shared" si="99"/>
        <v>39.705431172727351</v>
      </c>
      <c r="Y260" s="346">
        <f t="shared" si="100"/>
        <v>-24.483654535014331</v>
      </c>
      <c r="AA260" s="345">
        <f t="shared" si="101"/>
        <v>29.116331113186007</v>
      </c>
      <c r="AB260" s="346">
        <f t="shared" si="102"/>
        <v>-87.965939687533734</v>
      </c>
      <c r="AD260">
        <f t="shared" si="106"/>
        <v>0</v>
      </c>
      <c r="AE260">
        <f t="shared" si="109"/>
        <v>0</v>
      </c>
    </row>
    <row r="261" spans="1:31" x14ac:dyDescent="0.2">
      <c r="A261" s="347">
        <v>16218</v>
      </c>
      <c r="B261" s="364">
        <f t="shared" si="103"/>
        <v>16.218</v>
      </c>
      <c r="C261" s="337">
        <f t="shared" si="84"/>
        <v>40.085290699200634</v>
      </c>
      <c r="D261" s="338">
        <f t="shared" si="85"/>
        <v>1.5458469317555816</v>
      </c>
      <c r="E261" s="338">
        <f t="shared" si="86"/>
        <v>1.0004671597432302</v>
      </c>
      <c r="F261" s="339">
        <f t="shared" si="87"/>
        <v>3.0560692090065473E-2</v>
      </c>
      <c r="G261" s="338">
        <f t="shared" si="88"/>
        <v>1</v>
      </c>
      <c r="H261" s="339">
        <f t="shared" si="89"/>
        <v>0</v>
      </c>
      <c r="I261" s="337">
        <f t="shared" si="90"/>
        <v>2154.6650413665775</v>
      </c>
      <c r="J261" s="340">
        <f t="shared" si="91"/>
        <v>1.5703322175172592</v>
      </c>
      <c r="K261" s="348">
        <f t="shared" si="107"/>
        <v>2.7130605206379497</v>
      </c>
      <c r="L261" s="349">
        <f t="shared" si="108"/>
        <v>1.1933073239556793</v>
      </c>
      <c r="M261" s="337">
        <f t="shared" si="92"/>
        <v>1.0011829062244322</v>
      </c>
      <c r="N261" s="340">
        <f t="shared" si="93"/>
        <v>4.8615662996758527E-2</v>
      </c>
      <c r="O261" s="341">
        <f t="shared" si="94"/>
        <v>0.99993880747281094</v>
      </c>
      <c r="P261" s="342">
        <f t="shared" si="95"/>
        <v>2.009229397574587E-2</v>
      </c>
      <c r="Q261" s="343">
        <f t="shared" si="96"/>
        <v>11.93266672738295</v>
      </c>
      <c r="R261" s="344">
        <f t="shared" si="97"/>
        <v>-112.3581175414095</v>
      </c>
      <c r="S261" s="346">
        <f t="shared" si="98"/>
        <v>67.641882458590501</v>
      </c>
      <c r="U261" s="319">
        <f t="shared" si="104"/>
        <v>1000000000</v>
      </c>
      <c r="V261" s="319">
        <f t="shared" si="105"/>
        <v>263023524</v>
      </c>
      <c r="X261" s="345">
        <f t="shared" si="99"/>
        <v>39.698550205641332</v>
      </c>
      <c r="Y261" s="346">
        <f t="shared" si="100"/>
        <v>-24.387407508258871</v>
      </c>
      <c r="AA261" s="345">
        <f t="shared" si="101"/>
        <v>29.066866679836622</v>
      </c>
      <c r="AB261" s="346">
        <f t="shared" si="102"/>
        <v>-87.970710033150596</v>
      </c>
      <c r="AD261">
        <f t="shared" si="106"/>
        <v>0</v>
      </c>
      <c r="AE261">
        <f t="shared" si="109"/>
        <v>0</v>
      </c>
    </row>
    <row r="262" spans="1:31" x14ac:dyDescent="0.2">
      <c r="A262" s="347">
        <v>16312.5</v>
      </c>
      <c r="B262" s="364">
        <f t="shared" si="103"/>
        <v>16.3125</v>
      </c>
      <c r="C262" s="337">
        <f t="shared" si="84"/>
        <v>40.318717097163152</v>
      </c>
      <c r="D262" s="338">
        <f t="shared" si="85"/>
        <v>1.5459914067302338</v>
      </c>
      <c r="E262" s="338">
        <f t="shared" si="86"/>
        <v>1.000472618462678</v>
      </c>
      <c r="F262" s="339">
        <f t="shared" si="87"/>
        <v>3.0738653111079935E-2</v>
      </c>
      <c r="G262" s="338">
        <f t="shared" si="88"/>
        <v>1</v>
      </c>
      <c r="H262" s="339">
        <f t="shared" si="89"/>
        <v>0</v>
      </c>
      <c r="I262" s="337">
        <f t="shared" si="90"/>
        <v>2167.2199681564316</v>
      </c>
      <c r="J262" s="340">
        <f t="shared" si="91"/>
        <v>1.570334906149933</v>
      </c>
      <c r="K262" s="348">
        <f t="shared" si="107"/>
        <v>2.7267268148996493</v>
      </c>
      <c r="L262" s="349">
        <f t="shared" si="108"/>
        <v>1.1952938124522619</v>
      </c>
      <c r="M262" s="337">
        <f t="shared" si="92"/>
        <v>1.0011967233797012</v>
      </c>
      <c r="N262" s="340">
        <f t="shared" si="93"/>
        <v>4.8898489577660777E-2</v>
      </c>
      <c r="O262" s="341">
        <f t="shared" si="94"/>
        <v>0.99993809266161915</v>
      </c>
      <c r="P262" s="342">
        <f t="shared" si="95"/>
        <v>2.0209399284363827E-2</v>
      </c>
      <c r="Q262" s="343">
        <f t="shared" si="96"/>
        <v>11.875345494241632</v>
      </c>
      <c r="R262" s="344">
        <f t="shared" si="97"/>
        <v>-112.26544998193604</v>
      </c>
      <c r="S262" s="346">
        <f t="shared" si="98"/>
        <v>67.734550018063956</v>
      </c>
      <c r="U262" s="319">
        <f t="shared" si="104"/>
        <v>1000000000</v>
      </c>
      <c r="V262" s="319">
        <f t="shared" si="105"/>
        <v>266097656.25</v>
      </c>
      <c r="X262" s="345">
        <f t="shared" si="99"/>
        <v>39.691608719150949</v>
      </c>
      <c r="Y262" s="346">
        <f t="shared" si="100"/>
        <v>-24.289948917966729</v>
      </c>
      <c r="AA262" s="345">
        <f t="shared" si="101"/>
        <v>29.016486933185686</v>
      </c>
      <c r="AB262" s="346">
        <f t="shared" si="102"/>
        <v>-87.97550106396929</v>
      </c>
      <c r="AD262">
        <f t="shared" si="106"/>
        <v>0</v>
      </c>
      <c r="AE262">
        <f t="shared" si="109"/>
        <v>0</v>
      </c>
    </row>
    <row r="263" spans="1:31" x14ac:dyDescent="0.2">
      <c r="A263" s="347">
        <v>16407</v>
      </c>
      <c r="B263" s="364">
        <f t="shared" si="103"/>
        <v>16.407</v>
      </c>
      <c r="C263" s="337">
        <f t="shared" si="84"/>
        <v>40.552144327010431</v>
      </c>
      <c r="D263" s="338">
        <f t="shared" si="85"/>
        <v>1.5461342184471811</v>
      </c>
      <c r="E263" s="338">
        <f t="shared" si="86"/>
        <v>1.0004781088668724</v>
      </c>
      <c r="F263" s="339">
        <f t="shared" si="87"/>
        <v>3.0916612184508304E-2</v>
      </c>
      <c r="G263" s="338">
        <f t="shared" si="88"/>
        <v>1</v>
      </c>
      <c r="H263" s="339">
        <f t="shared" si="89"/>
        <v>0</v>
      </c>
      <c r="I263" s="337">
        <f t="shared" si="90"/>
        <v>2179.7748949617717</v>
      </c>
      <c r="J263" s="340">
        <f t="shared" si="91"/>
        <v>1.5703375638109809</v>
      </c>
      <c r="K263" s="348">
        <f t="shared" si="107"/>
        <v>2.740403761853238</v>
      </c>
      <c r="L263" s="349">
        <f t="shared" si="108"/>
        <v>1.1972604801088385</v>
      </c>
      <c r="M263" s="337">
        <f t="shared" si="92"/>
        <v>1.0012106206193581</v>
      </c>
      <c r="N263" s="340">
        <f t="shared" si="93"/>
        <v>4.9181308329673074E-2</v>
      </c>
      <c r="O263" s="341">
        <f t="shared" si="94"/>
        <v>0.99993737370644065</v>
      </c>
      <c r="P263" s="342">
        <f t="shared" si="95"/>
        <v>2.0326505121841969E-2</v>
      </c>
      <c r="Q263" s="343">
        <f t="shared" si="96"/>
        <v>11.818421921251041</v>
      </c>
      <c r="R263" s="344">
        <f t="shared" si="97"/>
        <v>-112.17382069407994</v>
      </c>
      <c r="S263" s="346">
        <f t="shared" si="98"/>
        <v>67.826179305920064</v>
      </c>
      <c r="U263" s="319">
        <f t="shared" si="104"/>
        <v>1000000000</v>
      </c>
      <c r="V263" s="319">
        <f t="shared" si="105"/>
        <v>269189649</v>
      </c>
      <c r="X263" s="345">
        <f t="shared" si="99"/>
        <v>39.684773615992334</v>
      </c>
      <c r="Y263" s="346">
        <f t="shared" si="100"/>
        <v>-24.193623755048822</v>
      </c>
      <c r="AA263" s="345">
        <f t="shared" si="101"/>
        <v>28.966398463353716</v>
      </c>
      <c r="AB263" s="346">
        <f t="shared" si="102"/>
        <v>-87.980196939031103</v>
      </c>
      <c r="AD263">
        <f t="shared" si="106"/>
        <v>0</v>
      </c>
      <c r="AE263">
        <f t="shared" si="109"/>
        <v>0</v>
      </c>
    </row>
    <row r="264" spans="1:31" x14ac:dyDescent="0.2">
      <c r="A264" s="347">
        <v>16501.5</v>
      </c>
      <c r="B264" s="364">
        <f t="shared" si="103"/>
        <v>16.5015</v>
      </c>
      <c r="C264" s="337">
        <f t="shared" si="84"/>
        <v>40.785572374459171</v>
      </c>
      <c r="D264" s="338">
        <f t="shared" si="85"/>
        <v>1.5462753954585138</v>
      </c>
      <c r="E264" s="338">
        <f t="shared" si="86"/>
        <v>1.0004836309552918</v>
      </c>
      <c r="F264" s="339">
        <f t="shared" si="87"/>
        <v>3.1094569299111027E-2</v>
      </c>
      <c r="G264" s="338">
        <f t="shared" si="88"/>
        <v>1</v>
      </c>
      <c r="H264" s="339">
        <f t="shared" si="89"/>
        <v>0</v>
      </c>
      <c r="I264" s="337">
        <f t="shared" si="90"/>
        <v>2192.3298217823312</v>
      </c>
      <c r="J264" s="340">
        <f t="shared" si="91"/>
        <v>1.5703401910325032</v>
      </c>
      <c r="K264" s="348">
        <f t="shared" si="107"/>
        <v>2.7540912027934095</v>
      </c>
      <c r="L264" s="349">
        <f t="shared" si="108"/>
        <v>1.1992076071180642</v>
      </c>
      <c r="M264" s="337">
        <f t="shared" si="92"/>
        <v>1.0012245979400676</v>
      </c>
      <c r="N264" s="340">
        <f t="shared" si="93"/>
        <v>4.9464119207879027E-2</v>
      </c>
      <c r="O264" s="341">
        <f t="shared" si="94"/>
        <v>0.99993665060743231</v>
      </c>
      <c r="P264" s="342">
        <f t="shared" si="95"/>
        <v>2.0443611491243324E-2</v>
      </c>
      <c r="Q264" s="343">
        <f t="shared" si="96"/>
        <v>11.761890491308844</v>
      </c>
      <c r="R264" s="344">
        <f t="shared" si="97"/>
        <v>-112.08321528863186</v>
      </c>
      <c r="S264" s="346">
        <f t="shared" si="98"/>
        <v>67.916784711368138</v>
      </c>
      <c r="U264" s="319">
        <f t="shared" si="104"/>
        <v>1000000000</v>
      </c>
      <c r="V264" s="319">
        <f t="shared" si="105"/>
        <v>272299502.25</v>
      </c>
      <c r="X264" s="345">
        <f t="shared" si="99"/>
        <v>39.678042715151321</v>
      </c>
      <c r="Y264" s="346">
        <f t="shared" si="100"/>
        <v>-24.098415993562135</v>
      </c>
      <c r="AA264" s="345">
        <f t="shared" si="101"/>
        <v>28.916597934252533</v>
      </c>
      <c r="AB264" s="346">
        <f t="shared" si="102"/>
        <v>-87.984799295069749</v>
      </c>
      <c r="AD264">
        <f t="shared" si="106"/>
        <v>0</v>
      </c>
      <c r="AE264">
        <f t="shared" si="109"/>
        <v>0</v>
      </c>
    </row>
    <row r="265" spans="1:31" x14ac:dyDescent="0.2">
      <c r="A265" s="347">
        <v>16596</v>
      </c>
      <c r="B265" s="364">
        <f t="shared" si="103"/>
        <v>16.596</v>
      </c>
      <c r="C265" s="337">
        <f t="shared" si="84"/>
        <v>41.019001225551108</v>
      </c>
      <c r="D265" s="338">
        <f t="shared" si="85"/>
        <v>1.5464149656666548</v>
      </c>
      <c r="E265" s="338">
        <f t="shared" si="86"/>
        <v>1.0004891847274116</v>
      </c>
      <c r="F265" s="339">
        <f t="shared" si="87"/>
        <v>3.1272524443649273E-2</v>
      </c>
      <c r="G265" s="338">
        <f t="shared" si="88"/>
        <v>1</v>
      </c>
      <c r="H265" s="339">
        <f t="shared" si="89"/>
        <v>0</v>
      </c>
      <c r="I265" s="337">
        <f t="shared" si="90"/>
        <v>2204.8847486178511</v>
      </c>
      <c r="J265" s="340">
        <f t="shared" si="91"/>
        <v>1.5703427883344807</v>
      </c>
      <c r="K265" s="348">
        <f t="shared" si="107"/>
        <v>2.7677889820336361</v>
      </c>
      <c r="L265" s="349">
        <f t="shared" si="108"/>
        <v>1.2011354687249767</v>
      </c>
      <c r="M265" s="337">
        <f t="shared" si="92"/>
        <v>1.0012386553384762</v>
      </c>
      <c r="N265" s="340">
        <f t="shared" si="93"/>
        <v>4.9746922167369798E-2</v>
      </c>
      <c r="O265" s="341">
        <f t="shared" si="94"/>
        <v>0.99993592336475168</v>
      </c>
      <c r="P265" s="342">
        <f t="shared" si="95"/>
        <v>2.0560718395630902E-2</v>
      </c>
      <c r="Q265" s="343">
        <f t="shared" si="96"/>
        <v>11.705745798390696</v>
      </c>
      <c r="R265" s="344">
        <f t="shared" si="97"/>
        <v>-111.99361962194298</v>
      </c>
      <c r="S265" s="346">
        <f t="shared" si="98"/>
        <v>68.006380378057017</v>
      </c>
      <c r="U265" s="319">
        <f t="shared" si="104"/>
        <v>1000000000</v>
      </c>
      <c r="V265" s="319">
        <f t="shared" si="105"/>
        <v>275427216</v>
      </c>
      <c r="X265" s="345">
        <f t="shared" si="99"/>
        <v>39.671413889678149</v>
      </c>
      <c r="Y265" s="346">
        <f t="shared" si="100"/>
        <v>-24.004309890347272</v>
      </c>
      <c r="AA265" s="345">
        <f t="shared" si="101"/>
        <v>28.867082066807551</v>
      </c>
      <c r="AB265" s="346">
        <f t="shared" si="102"/>
        <v>-87.989309731595696</v>
      </c>
      <c r="AD265">
        <f t="shared" si="106"/>
        <v>0</v>
      </c>
      <c r="AE265">
        <f t="shared" si="109"/>
        <v>0</v>
      </c>
    </row>
    <row r="266" spans="1:31" x14ac:dyDescent="0.2">
      <c r="A266" s="347">
        <v>16692.5</v>
      </c>
      <c r="B266" s="364">
        <f t="shared" si="103"/>
        <v>16.692499999999999</v>
      </c>
      <c r="C266" s="337">
        <f t="shared" si="84"/>
        <v>41.257371184947381</v>
      </c>
      <c r="D266" s="338">
        <f t="shared" si="85"/>
        <v>1.5465558599070923</v>
      </c>
      <c r="E266" s="338">
        <f t="shared" si="86"/>
        <v>1.0004948887357612</v>
      </c>
      <c r="F266" s="339">
        <f t="shared" si="87"/>
        <v>3.1454243789906175E-2</v>
      </c>
      <c r="G266" s="338">
        <f t="shared" si="88"/>
        <v>1</v>
      </c>
      <c r="H266" s="339">
        <f t="shared" si="89"/>
        <v>0</v>
      </c>
      <c r="I266" s="337">
        <f t="shared" si="90"/>
        <v>2217.705388205804</v>
      </c>
      <c r="J266" s="340">
        <f t="shared" si="91"/>
        <v>1.5703454102578283</v>
      </c>
      <c r="K266" s="348">
        <f t="shared" si="107"/>
        <v>2.7817871714638156</v>
      </c>
      <c r="L266" s="349">
        <f t="shared" si="108"/>
        <v>1.2030845313037715</v>
      </c>
      <c r="M266" s="337">
        <f t="shared" si="92"/>
        <v>1.0012530928822392</v>
      </c>
      <c r="N266" s="340">
        <f t="shared" si="93"/>
        <v>5.0035702156140442E-2</v>
      </c>
      <c r="O266" s="341">
        <f t="shared" si="94"/>
        <v>0.99993517645471119</v>
      </c>
      <c r="P266" s="342">
        <f t="shared" si="95"/>
        <v>2.0680304308294331E-2</v>
      </c>
      <c r="Q266" s="343">
        <f t="shared" si="96"/>
        <v>11.648806453845868</v>
      </c>
      <c r="R266" s="344">
        <f t="shared" si="97"/>
        <v>-111.9031553235974</v>
      </c>
      <c r="S266" s="346">
        <f t="shared" si="98"/>
        <v>68.096844676402597</v>
      </c>
      <c r="U266" s="319">
        <f t="shared" si="104"/>
        <v>1000000000</v>
      </c>
      <c r="V266" s="319">
        <f t="shared" si="105"/>
        <v>278639556.25</v>
      </c>
      <c r="X266" s="345">
        <f t="shared" si="99"/>
        <v>39.66474795472687</v>
      </c>
      <c r="Y266" s="346">
        <f t="shared" si="100"/>
        <v>-23.909332930173324</v>
      </c>
      <c r="AA266" s="345">
        <f t="shared" si="101"/>
        <v>28.816808657214001</v>
      </c>
      <c r="AB266" s="346">
        <f t="shared" si="102"/>
        <v>-87.993822393424068</v>
      </c>
      <c r="AD266">
        <f t="shared" si="106"/>
        <v>0</v>
      </c>
      <c r="AE266">
        <f t="shared" si="109"/>
        <v>0</v>
      </c>
    </row>
    <row r="267" spans="1:31" x14ac:dyDescent="0.2">
      <c r="A267" s="347">
        <v>16789</v>
      </c>
      <c r="B267" s="364">
        <f t="shared" si="103"/>
        <v>16.789000000000001</v>
      </c>
      <c r="C267" s="337">
        <f t="shared" si="84"/>
        <v>41.495741953941952</v>
      </c>
      <c r="D267" s="338">
        <f t="shared" si="85"/>
        <v>1.5466951354266665</v>
      </c>
      <c r="E267" s="338">
        <f t="shared" si="86"/>
        <v>1.0005006257819966</v>
      </c>
      <c r="F267" s="339">
        <f t="shared" si="87"/>
        <v>3.1635961058142405E-2</v>
      </c>
      <c r="G267" s="338">
        <f t="shared" si="88"/>
        <v>1</v>
      </c>
      <c r="H267" s="339">
        <f t="shared" si="89"/>
        <v>0</v>
      </c>
      <c r="I267" s="337">
        <f t="shared" si="90"/>
        <v>2230.5260278088276</v>
      </c>
      <c r="J267" s="340">
        <f t="shared" si="91"/>
        <v>1.5703480020405418</v>
      </c>
      <c r="K267" s="348">
        <f t="shared" si="107"/>
        <v>2.7957958226278192</v>
      </c>
      <c r="L267" s="349">
        <f t="shared" si="108"/>
        <v>1.2050140691545448</v>
      </c>
      <c r="M267" s="337">
        <f t="shared" si="92"/>
        <v>1.0012676139219725</v>
      </c>
      <c r="N267" s="340">
        <f t="shared" si="93"/>
        <v>5.0324473792838637E-2</v>
      </c>
      <c r="O267" s="341">
        <f t="shared" si="94"/>
        <v>0.99993442522408382</v>
      </c>
      <c r="P267" s="342">
        <f t="shared" si="95"/>
        <v>2.0799890785284172E-2</v>
      </c>
      <c r="Q267" s="343">
        <f t="shared" si="96"/>
        <v>11.592259337449139</v>
      </c>
      <c r="R267" s="344">
        <f t="shared" si="97"/>
        <v>-111.81371490981677</v>
      </c>
      <c r="S267" s="346">
        <f t="shared" si="98"/>
        <v>68.186285090183233</v>
      </c>
      <c r="U267" s="319">
        <f t="shared" si="104"/>
        <v>1000000000</v>
      </c>
      <c r="V267" s="319">
        <f t="shared" si="105"/>
        <v>281870521</v>
      </c>
      <c r="X267" s="345">
        <f t="shared" si="99"/>
        <v>39.658184144395541</v>
      </c>
      <c r="Y267" s="346">
        <f t="shared" si="100"/>
        <v>-23.815472449042812</v>
      </c>
      <c r="AA267" s="345">
        <f t="shared" si="101"/>
        <v>28.766825351148611</v>
      </c>
      <c r="AB267" s="346">
        <f t="shared" si="102"/>
        <v>-87.99824246077398</v>
      </c>
      <c r="AD267">
        <f t="shared" si="106"/>
        <v>0</v>
      </c>
      <c r="AE267">
        <f t="shared" si="109"/>
        <v>0</v>
      </c>
    </row>
    <row r="268" spans="1:31" x14ac:dyDescent="0.2">
      <c r="A268" s="347">
        <v>16885.5</v>
      </c>
      <c r="B268" s="364">
        <f t="shared" si="103"/>
        <v>16.8855</v>
      </c>
      <c r="C268" s="337">
        <f t="shared" si="84"/>
        <v>41.734113518662376</v>
      </c>
      <c r="D268" s="338">
        <f t="shared" si="85"/>
        <v>1.5468328199567345</v>
      </c>
      <c r="E268" s="338">
        <f t="shared" si="86"/>
        <v>1.0005063958655493</v>
      </c>
      <c r="F268" s="339">
        <f t="shared" si="87"/>
        <v>3.181767623639279E-2</v>
      </c>
      <c r="G268" s="338">
        <f t="shared" si="88"/>
        <v>1</v>
      </c>
      <c r="H268" s="339">
        <f t="shared" si="89"/>
        <v>0</v>
      </c>
      <c r="I268" s="337">
        <f t="shared" si="90"/>
        <v>2243.3466674266629</v>
      </c>
      <c r="J268" s="340">
        <f t="shared" si="91"/>
        <v>1.5703505641993791</v>
      </c>
      <c r="K268" s="348">
        <f t="shared" si="107"/>
        <v>2.8098147790511598</v>
      </c>
      <c r="L268" s="349">
        <f t="shared" si="108"/>
        <v>1.206924360044193</v>
      </c>
      <c r="M268" s="337">
        <f t="shared" si="92"/>
        <v>1.0012822184540431</v>
      </c>
      <c r="N268" s="340">
        <f t="shared" si="93"/>
        <v>5.061323702966803E-2</v>
      </c>
      <c r="O268" s="341">
        <f t="shared" si="94"/>
        <v>0.99993366967304087</v>
      </c>
      <c r="P268" s="342">
        <f t="shared" si="95"/>
        <v>2.0919477829862008E-2</v>
      </c>
      <c r="Q268" s="343">
        <f t="shared" si="96"/>
        <v>11.53609903299545</v>
      </c>
      <c r="R268" s="344">
        <f t="shared" si="97"/>
        <v>-111.72528408236199</v>
      </c>
      <c r="S268" s="346">
        <f t="shared" si="98"/>
        <v>68.274715917638005</v>
      </c>
      <c r="U268" s="319">
        <f t="shared" si="104"/>
        <v>1000000000</v>
      </c>
      <c r="V268" s="319">
        <f t="shared" si="105"/>
        <v>285120110.25</v>
      </c>
      <c r="X268" s="345">
        <f t="shared" si="99"/>
        <v>39.651720358376906</v>
      </c>
      <c r="Y268" s="346">
        <f t="shared" si="100"/>
        <v>-23.722712558954374</v>
      </c>
      <c r="AA268" s="345">
        <f t="shared" si="101"/>
        <v>28.717128832713549</v>
      </c>
      <c r="AB268" s="346">
        <f t="shared" si="102"/>
        <v>-88.002571523407596</v>
      </c>
      <c r="AD268">
        <f t="shared" si="106"/>
        <v>0</v>
      </c>
      <c r="AE268">
        <f t="shared" si="109"/>
        <v>0</v>
      </c>
    </row>
    <row r="269" spans="1:31" x14ac:dyDescent="0.2">
      <c r="A269" s="347">
        <v>16982</v>
      </c>
      <c r="B269" s="364">
        <f t="shared" si="103"/>
        <v>16.981999999999999</v>
      </c>
      <c r="C269" s="337">
        <f t="shared" ref="C269:C332" si="110">SQRT(1+(A269/pole1)^2)</f>
        <v>41.97248586555132</v>
      </c>
      <c r="D269" s="338">
        <f t="shared" ref="D269:D332" si="111">ATAN(A269/pole1)</f>
        <v>1.5469689405989246</v>
      </c>
      <c r="E269" s="338">
        <f t="shared" ref="E269:E332" si="112">SQRT(1+(A269/Zero1)^2)</f>
        <v>1.0005121989858476</v>
      </c>
      <c r="F269" s="339">
        <f t="shared" ref="F269:F332" si="113">ATAN(A269/Zero1)</f>
        <v>3.1999389312692965E-2</v>
      </c>
      <c r="G269" s="338">
        <f t="shared" ref="G269:G332" si="114">IF(VIN_nom&gt;Vout, 1, SQRT(1+(A269/z_RHP)^2))</f>
        <v>1</v>
      </c>
      <c r="H269" s="339">
        <f t="shared" ref="H269:H332" si="115">IF(VIN_nom&gt;Vout, 0, -ATAN(A269/z_RHP))</f>
        <v>0</v>
      </c>
      <c r="I269" s="337">
        <f t="shared" ref="I269:I332" si="116">SQRT(1+(A269/Pole2)^2)</f>
        <v>2256.1673070590577</v>
      </c>
      <c r="J269" s="340">
        <f t="shared" ref="J269:J332" si="117">ATAN(A269/Pole2)</f>
        <v>1.570353097239352</v>
      </c>
      <c r="K269" s="348">
        <f t="shared" si="107"/>
        <v>2.8238438872526426</v>
      </c>
      <c r="L269" s="349">
        <f t="shared" si="108"/>
        <v>1.2088156767877229</v>
      </c>
      <c r="M269" s="337">
        <f t="shared" ref="M269:M332" si="118">SQRT(1+(A269/pole4)^2)</f>
        <v>1.0012969064747979</v>
      </c>
      <c r="N269" s="340">
        <f t="shared" ref="N269:N332" si="119">ATAN(A269/pole4)</f>
        <v>5.0901991818840635E-2</v>
      </c>
      <c r="O269" s="341">
        <f t="shared" ref="O269:O332" si="120">SQRT((1-(V269/pterm2))^2+(A269/pterm1)^2)</f>
        <v>0.99993290980175376</v>
      </c>
      <c r="P269" s="342">
        <f t="shared" ref="P269:P332" si="121">IF((ATAN((A269/pterm1)/(1-A269^2/pterm2))&gt;0),ATAN((A269/pterm1)/(1-A269^2/pterm2)),PI()+ATAN((A269/pterm1)/(1-A269^2/pterm2)))</f>
        <v>2.1039065445289423E-2</v>
      </c>
      <c r="Q269" s="343">
        <f t="shared" ref="Q269:Q332" si="122">20*LOG10(((E269*K269*G269)/(C269*I269*O269*M269))*Adc)</f>
        <v>11.480320233080541</v>
      </c>
      <c r="R269" s="344">
        <f t="shared" ref="R269:R332" si="123">((F269+L269+H269)-(D269+J269+P269+N269))*radconv</f>
        <v>-111.63784878996272</v>
      </c>
      <c r="S269" s="346">
        <f t="shared" ref="S269:S332" si="124">IF(R269&gt;0,R269,R269+180)</f>
        <v>68.362151210037283</v>
      </c>
      <c r="U269" s="319">
        <f t="shared" si="104"/>
        <v>1000000000</v>
      </c>
      <c r="V269" s="319">
        <f t="shared" si="105"/>
        <v>288388324</v>
      </c>
      <c r="X269" s="345">
        <f t="shared" ref="X269:X332" si="125">20*LOG10((K269/(I269*M269))*AEA)</f>
        <v>39.645354548606207</v>
      </c>
      <c r="Y269" s="346">
        <f t="shared" ref="Y269:Y332" si="126">(L269-(J269+N269))*radconv</f>
        <v>-23.63103765495649</v>
      </c>
      <c r="AA269" s="345">
        <f t="shared" ref="AA269:AA332" si="127">20*LOG10((E269*G269/(C269*O269))*Acs*Am)</f>
        <v>28.667715842569336</v>
      </c>
      <c r="AB269" s="346">
        <f t="shared" ref="AB269:AB332" si="128">(F269+H269-(D269+P269))*radconv</f>
        <v>-88.006811135006245</v>
      </c>
      <c r="AD269">
        <f t="shared" si="106"/>
        <v>0</v>
      </c>
      <c r="AE269">
        <f t="shared" si="109"/>
        <v>0</v>
      </c>
    </row>
    <row r="270" spans="1:31" x14ac:dyDescent="0.2">
      <c r="A270" s="347">
        <v>17081</v>
      </c>
      <c r="B270" s="364">
        <f t="shared" ref="B270:B333" si="129">A270/1000</f>
        <v>17.081</v>
      </c>
      <c r="C270" s="337">
        <f t="shared" si="110"/>
        <v>42.217034460780269</v>
      </c>
      <c r="D270" s="338">
        <f t="shared" si="111"/>
        <v>1.5471069902587018</v>
      </c>
      <c r="E270" s="338">
        <f t="shared" si="112"/>
        <v>1.0005181867770914</v>
      </c>
      <c r="F270" s="339">
        <f t="shared" si="113"/>
        <v>3.218580778476602E-2</v>
      </c>
      <c r="G270" s="338">
        <f t="shared" si="114"/>
        <v>1</v>
      </c>
      <c r="H270" s="339">
        <f t="shared" si="115"/>
        <v>0</v>
      </c>
      <c r="I270" s="337">
        <f t="shared" si="116"/>
        <v>2269.3200876294432</v>
      </c>
      <c r="J270" s="340">
        <f t="shared" si="117"/>
        <v>1.5703556661592222</v>
      </c>
      <c r="K270" s="348">
        <f t="shared" si="107"/>
        <v>2.8382468357480795</v>
      </c>
      <c r="L270" s="349">
        <f t="shared" si="108"/>
        <v>1.2107365543644162</v>
      </c>
      <c r="M270" s="337">
        <f t="shared" si="118"/>
        <v>1.0013120617714539</v>
      </c>
      <c r="N270" s="340">
        <f t="shared" si="119"/>
        <v>5.1198218473183787E-2</v>
      </c>
      <c r="O270" s="341">
        <f t="shared" si="120"/>
        <v>0.99993212575528423</v>
      </c>
      <c r="P270" s="342">
        <f t="shared" si="121"/>
        <v>2.1161751782111934E-2</v>
      </c>
      <c r="Q270" s="343">
        <f t="shared" si="122"/>
        <v>11.423487393158915</v>
      </c>
      <c r="R270" s="344">
        <f t="shared" si="123"/>
        <v>-111.54916841759442</v>
      </c>
      <c r="S270" s="346">
        <f t="shared" si="124"/>
        <v>68.450831582405584</v>
      </c>
      <c r="U270" s="319">
        <f t="shared" ref="U270:U333" si="130">IF(Q270&lt;0,A270,1000000000)</f>
        <v>1000000000</v>
      </c>
      <c r="V270" s="319">
        <f t="shared" ref="V270:V333" si="131">A270^2</f>
        <v>291760561</v>
      </c>
      <c r="X270" s="345">
        <f t="shared" si="125"/>
        <v>39.638923544760928</v>
      </c>
      <c r="Y270" s="346">
        <f t="shared" si="126"/>
        <v>-23.538099202084066</v>
      </c>
      <c r="AA270" s="345">
        <f t="shared" si="127"/>
        <v>28.617314006492993</v>
      </c>
      <c r="AB270" s="346">
        <f t="shared" si="128"/>
        <v>-88.011069215510332</v>
      </c>
      <c r="AD270">
        <f t="shared" ref="AD270:AD333" si="132">SUM((Q271&lt;0)*(Q270&gt;0))*A270</f>
        <v>0</v>
      </c>
      <c r="AE270">
        <f t="shared" si="109"/>
        <v>0</v>
      </c>
    </row>
    <row r="271" spans="1:31" x14ac:dyDescent="0.2">
      <c r="A271" s="347">
        <v>17180</v>
      </c>
      <c r="B271" s="364">
        <f t="shared" si="129"/>
        <v>17.18</v>
      </c>
      <c r="C271" s="337">
        <f t="shared" si="110"/>
        <v>42.461583851301768</v>
      </c>
      <c r="D271" s="338">
        <f t="shared" si="111"/>
        <v>1.5472434497797034</v>
      </c>
      <c r="E271" s="338">
        <f t="shared" si="112"/>
        <v>1.0005242093377726</v>
      </c>
      <c r="F271" s="339">
        <f t="shared" si="113"/>
        <v>3.2372224019060668E-2</v>
      </c>
      <c r="G271" s="338">
        <f t="shared" si="114"/>
        <v>1</v>
      </c>
      <c r="H271" s="339">
        <f t="shared" si="115"/>
        <v>0</v>
      </c>
      <c r="I271" s="337">
        <f t="shared" si="116"/>
        <v>2282.4728682146315</v>
      </c>
      <c r="J271" s="340">
        <f t="shared" si="117"/>
        <v>1.5703582054722218</v>
      </c>
      <c r="K271" s="348">
        <f t="shared" si="107"/>
        <v>2.8526601509508924</v>
      </c>
      <c r="L271" s="349">
        <f t="shared" si="108"/>
        <v>1.2126380280938569</v>
      </c>
      <c r="M271" s="337">
        <f t="shared" si="118"/>
        <v>1.0013273049308105</v>
      </c>
      <c r="N271" s="340">
        <f t="shared" si="119"/>
        <v>5.1494436134630062E-2</v>
      </c>
      <c r="O271" s="341">
        <f t="shared" si="120"/>
        <v>0.99993133716219373</v>
      </c>
      <c r="P271" s="342">
        <f t="shared" si="121"/>
        <v>2.1284438726699263E-2</v>
      </c>
      <c r="Q271" s="343">
        <f t="shared" si="122"/>
        <v>11.367045103699354</v>
      </c>
      <c r="R271" s="344">
        <f t="shared" si="123"/>
        <v>-111.46150664697429</v>
      </c>
      <c r="S271" s="346">
        <f t="shared" si="124"/>
        <v>68.538493353025714</v>
      </c>
      <c r="U271" s="319">
        <f t="shared" si="130"/>
        <v>1000000000</v>
      </c>
      <c r="V271" s="319">
        <f t="shared" si="131"/>
        <v>295152400</v>
      </c>
      <c r="X271" s="345">
        <f t="shared" si="125"/>
        <v>39.632591454684594</v>
      </c>
      <c r="Y271" s="346">
        <f t="shared" si="126"/>
        <v>-23.446270296163028</v>
      </c>
      <c r="AA271" s="345">
        <f t="shared" si="127"/>
        <v>28.567203807109767</v>
      </c>
      <c r="AB271" s="346">
        <f t="shared" si="128"/>
        <v>-88.015236350811278</v>
      </c>
      <c r="AD271">
        <f t="shared" si="132"/>
        <v>0</v>
      </c>
      <c r="AE271">
        <f t="shared" si="109"/>
        <v>0</v>
      </c>
    </row>
    <row r="272" spans="1:31" x14ac:dyDescent="0.2">
      <c r="A272" s="347">
        <v>17279</v>
      </c>
      <c r="B272" s="364">
        <f t="shared" si="129"/>
        <v>17.279</v>
      </c>
      <c r="C272" s="337">
        <f t="shared" si="110"/>
        <v>42.70613402345348</v>
      </c>
      <c r="D272" s="338">
        <f t="shared" si="111"/>
        <v>1.547378346473866</v>
      </c>
      <c r="E272" s="338">
        <f t="shared" si="112"/>
        <v>1.0005302666672637</v>
      </c>
      <c r="F272" s="339">
        <f t="shared" si="113"/>
        <v>3.2558638002661115E-2</v>
      </c>
      <c r="G272" s="338">
        <f t="shared" si="114"/>
        <v>1</v>
      </c>
      <c r="H272" s="339">
        <f t="shared" si="115"/>
        <v>0</v>
      </c>
      <c r="I272" s="337">
        <f t="shared" si="116"/>
        <v>2295.6256488143699</v>
      </c>
      <c r="J272" s="340">
        <f t="shared" si="117"/>
        <v>1.5703607156872481</v>
      </c>
      <c r="K272" s="348">
        <f t="shared" si="107"/>
        <v>2.8670836765155054</v>
      </c>
      <c r="L272" s="349">
        <f t="shared" si="108"/>
        <v>1.2145203769680657</v>
      </c>
      <c r="M272" s="337">
        <f t="shared" si="118"/>
        <v>1.0013426359488544</v>
      </c>
      <c r="N272" s="340">
        <f t="shared" si="119"/>
        <v>5.1790644751608168E-2</v>
      </c>
      <c r="O272" s="341">
        <f t="shared" si="120"/>
        <v>0.9999305440226709</v>
      </c>
      <c r="P272" s="342">
        <f t="shared" si="121"/>
        <v>2.1407126282573068E-2</v>
      </c>
      <c r="Q272" s="343">
        <f t="shared" si="122"/>
        <v>11.310987972853106</v>
      </c>
      <c r="R272" s="344">
        <f t="shared" si="123"/>
        <v>-111.37484908504044</v>
      </c>
      <c r="S272" s="346">
        <f t="shared" si="124"/>
        <v>68.625150914959562</v>
      </c>
      <c r="U272" s="319">
        <f t="shared" si="130"/>
        <v>1000000000</v>
      </c>
      <c r="V272" s="319">
        <f t="shared" si="131"/>
        <v>298563841</v>
      </c>
      <c r="X272" s="345">
        <f t="shared" si="125"/>
        <v>39.626356228542008</v>
      </c>
      <c r="Y272" s="346">
        <f t="shared" si="126"/>
        <v>-23.355534978330905</v>
      </c>
      <c r="AA272" s="345">
        <f t="shared" si="127"/>
        <v>28.517381902406104</v>
      </c>
      <c r="AB272" s="346">
        <f t="shared" si="128"/>
        <v>-88.019314106709544</v>
      </c>
      <c r="AD272">
        <f t="shared" si="132"/>
        <v>0</v>
      </c>
      <c r="AE272">
        <f t="shared" si="109"/>
        <v>0</v>
      </c>
    </row>
    <row r="273" spans="1:31" x14ac:dyDescent="0.2">
      <c r="A273" s="347">
        <v>17378</v>
      </c>
      <c r="B273" s="364">
        <f t="shared" si="129"/>
        <v>17.378</v>
      </c>
      <c r="C273" s="337">
        <f t="shared" si="110"/>
        <v>42.950684963884207</v>
      </c>
      <c r="D273" s="338">
        <f t="shared" si="111"/>
        <v>1.5475117070313253</v>
      </c>
      <c r="E273" s="338">
        <f t="shared" si="112"/>
        <v>1.0005363587649334</v>
      </c>
      <c r="F273" s="339">
        <f t="shared" si="113"/>
        <v>3.2745049722652526E-2</v>
      </c>
      <c r="G273" s="338">
        <f t="shared" si="114"/>
        <v>1</v>
      </c>
      <c r="H273" s="339">
        <f t="shared" si="115"/>
        <v>0</v>
      </c>
      <c r="I273" s="337">
        <f t="shared" si="116"/>
        <v>2308.7784294284079</v>
      </c>
      <c r="J273" s="340">
        <f t="shared" si="117"/>
        <v>1.5703631973016023</v>
      </c>
      <c r="K273" s="348">
        <f t="shared" si="107"/>
        <v>2.8815172591170573</v>
      </c>
      <c r="L273" s="349">
        <f t="shared" si="108"/>
        <v>1.2163838749372204</v>
      </c>
      <c r="M273" s="337">
        <f t="shared" si="118"/>
        <v>1.0013580548215508</v>
      </c>
      <c r="N273" s="340">
        <f t="shared" si="119"/>
        <v>5.2086844272556311E-2</v>
      </c>
      <c r="O273" s="341">
        <f t="shared" si="120"/>
        <v>0.99992974633690568</v>
      </c>
      <c r="P273" s="342">
        <f t="shared" si="121"/>
        <v>2.1529814453254973E-2</v>
      </c>
      <c r="Q273" s="343">
        <f t="shared" si="122"/>
        <v>11.255310717312209</v>
      </c>
      <c r="R273" s="344">
        <f t="shared" si="123"/>
        <v>-111.28918159131672</v>
      </c>
      <c r="S273" s="346">
        <f t="shared" si="124"/>
        <v>68.710818408683281</v>
      </c>
      <c r="U273" s="319">
        <f t="shared" si="130"/>
        <v>1000000000</v>
      </c>
      <c r="V273" s="319">
        <f t="shared" si="131"/>
        <v>301994884</v>
      </c>
      <c r="X273" s="345">
        <f t="shared" si="125"/>
        <v>39.620215867884461</v>
      </c>
      <c r="Y273" s="346">
        <f t="shared" si="126"/>
        <v>-23.265877577937701</v>
      </c>
      <c r="AA273" s="345">
        <f t="shared" si="127"/>
        <v>28.467845007522751</v>
      </c>
      <c r="AB273" s="346">
        <f t="shared" si="128"/>
        <v>-88.023304013379004</v>
      </c>
      <c r="AD273">
        <f t="shared" si="132"/>
        <v>0</v>
      </c>
      <c r="AE273">
        <f t="shared" si="109"/>
        <v>0</v>
      </c>
    </row>
    <row r="274" spans="1:31" x14ac:dyDescent="0.2">
      <c r="A274" s="347">
        <v>17479.25</v>
      </c>
      <c r="B274" s="364">
        <f t="shared" si="129"/>
        <v>17.47925</v>
      </c>
      <c r="C274" s="337">
        <f t="shared" si="110"/>
        <v>43.200794661304961</v>
      </c>
      <c r="D274" s="338">
        <f t="shared" si="111"/>
        <v>1.5476465367916865</v>
      </c>
      <c r="E274" s="338">
        <f t="shared" si="112"/>
        <v>1.0005426252811431</v>
      </c>
      <c r="F274" s="339">
        <f t="shared" si="113"/>
        <v>3.2935695717822948E-2</v>
      </c>
      <c r="G274" s="338">
        <f t="shared" si="114"/>
        <v>1</v>
      </c>
      <c r="H274" s="339">
        <f t="shared" si="115"/>
        <v>0</v>
      </c>
      <c r="I274" s="337">
        <f t="shared" si="116"/>
        <v>2322.2301368891212</v>
      </c>
      <c r="J274" s="340">
        <f t="shared" si="117"/>
        <v>1.5703657062396723</v>
      </c>
      <c r="K274" s="348">
        <f t="shared" si="107"/>
        <v>2.8962891234742694</v>
      </c>
      <c r="L274" s="349">
        <f t="shared" si="108"/>
        <v>1.2182705070489017</v>
      </c>
      <c r="M274" s="337">
        <f t="shared" si="118"/>
        <v>1.0013739149913297</v>
      </c>
      <c r="N274" s="340">
        <f t="shared" si="119"/>
        <v>5.2389766138600719E-2</v>
      </c>
      <c r="O274" s="341">
        <f t="shared" si="120"/>
        <v>0.99992892581971526</v>
      </c>
      <c r="P274" s="342">
        <f t="shared" si="121"/>
        <v>2.1655291631048807E-2</v>
      </c>
      <c r="Q274" s="343">
        <f t="shared" si="122"/>
        <v>11.198755597934868</v>
      </c>
      <c r="R274" s="344">
        <f t="shared" si="123"/>
        <v>-111.2025767077635</v>
      </c>
      <c r="S274" s="346">
        <f t="shared" si="124"/>
        <v>68.797423292236502</v>
      </c>
      <c r="U274" s="319">
        <f t="shared" si="130"/>
        <v>1000000000</v>
      </c>
      <c r="V274" s="319">
        <f t="shared" si="131"/>
        <v>305524180.5625</v>
      </c>
      <c r="X274" s="345">
        <f t="shared" si="125"/>
        <v>39.614032047129712</v>
      </c>
      <c r="Y274" s="346">
        <f t="shared" si="126"/>
        <v>-23.175281416350028</v>
      </c>
      <c r="AA274" s="345">
        <f t="shared" si="127"/>
        <v>28.417473708900161</v>
      </c>
      <c r="AB274" s="346">
        <f t="shared" si="128"/>
        <v>-88.027295291413481</v>
      </c>
      <c r="AD274">
        <f t="shared" si="132"/>
        <v>0</v>
      </c>
      <c r="AE274">
        <f t="shared" si="109"/>
        <v>0</v>
      </c>
    </row>
    <row r="275" spans="1:31" x14ac:dyDescent="0.2">
      <c r="A275" s="347">
        <v>17580.5</v>
      </c>
      <c r="B275" s="364">
        <f t="shared" si="129"/>
        <v>17.580500000000001</v>
      </c>
      <c r="C275" s="337">
        <f t="shared" si="110"/>
        <v>43.45090513503456</v>
      </c>
      <c r="D275" s="338">
        <f t="shared" si="111"/>
        <v>1.547779814350408</v>
      </c>
      <c r="E275" s="338">
        <f t="shared" si="112"/>
        <v>1.0005489281625142</v>
      </c>
      <c r="F275" s="339">
        <f t="shared" si="113"/>
        <v>3.3126339318002698E-2</v>
      </c>
      <c r="G275" s="338">
        <f t="shared" si="114"/>
        <v>1</v>
      </c>
      <c r="H275" s="339">
        <f t="shared" si="115"/>
        <v>0</v>
      </c>
      <c r="I275" s="337">
        <f t="shared" si="116"/>
        <v>2335.6818443642846</v>
      </c>
      <c r="J275" s="340">
        <f t="shared" si="117"/>
        <v>1.5703681862786856</v>
      </c>
      <c r="K275" s="348">
        <f t="shared" si="107"/>
        <v>2.9110711921824795</v>
      </c>
      <c r="L275" s="349">
        <f t="shared" si="108"/>
        <v>1.2201379855705068</v>
      </c>
      <c r="M275" s="337">
        <f t="shared" si="118"/>
        <v>1.0013898670459223</v>
      </c>
      <c r="N275" s="340">
        <f t="shared" si="119"/>
        <v>5.2692678381401493E-2</v>
      </c>
      <c r="O275" s="341">
        <f t="shared" si="120"/>
        <v>0.99992810054769199</v>
      </c>
      <c r="P275" s="342">
        <f t="shared" si="121"/>
        <v>2.1780769459364854E-2</v>
      </c>
      <c r="Q275" s="343">
        <f t="shared" si="122"/>
        <v>11.142586974720947</v>
      </c>
      <c r="R275" s="344">
        <f t="shared" si="123"/>
        <v>-111.11697827681226</v>
      </c>
      <c r="S275" s="346">
        <f t="shared" si="124"/>
        <v>68.883021723187738</v>
      </c>
      <c r="U275" s="319">
        <f t="shared" si="130"/>
        <v>1000000000</v>
      </c>
      <c r="V275" s="319">
        <f t="shared" si="131"/>
        <v>309073980.25</v>
      </c>
      <c r="X275" s="345">
        <f t="shared" si="125"/>
        <v>39.607943382876122</v>
      </c>
      <c r="Y275" s="346">
        <f t="shared" si="126"/>
        <v>-23.085780467472265</v>
      </c>
      <c r="AA275" s="345">
        <f t="shared" si="127"/>
        <v>28.367393749939836</v>
      </c>
      <c r="AB275" s="346">
        <f t="shared" si="128"/>
        <v>-88.031197809339972</v>
      </c>
      <c r="AD275">
        <f t="shared" si="132"/>
        <v>0</v>
      </c>
      <c r="AE275">
        <f t="shared" si="109"/>
        <v>0</v>
      </c>
    </row>
    <row r="276" spans="1:31" x14ac:dyDescent="0.2">
      <c r="A276" s="347">
        <v>17681.75</v>
      </c>
      <c r="B276" s="364">
        <f t="shared" si="129"/>
        <v>17.681750000000001</v>
      </c>
      <c r="C276" s="337">
        <f t="shared" si="110"/>
        <v>43.701016371744032</v>
      </c>
      <c r="D276" s="338">
        <f t="shared" si="111"/>
        <v>1.5479115663535632</v>
      </c>
      <c r="E276" s="338">
        <f t="shared" si="112"/>
        <v>1.0005552674083593</v>
      </c>
      <c r="F276" s="339">
        <f t="shared" si="113"/>
        <v>3.3316980509379313E-2</v>
      </c>
      <c r="G276" s="338">
        <f t="shared" si="114"/>
        <v>1</v>
      </c>
      <c r="H276" s="339">
        <f t="shared" si="115"/>
        <v>0</v>
      </c>
      <c r="I276" s="337">
        <f t="shared" si="116"/>
        <v>2349.1335518536489</v>
      </c>
      <c r="J276" s="340">
        <f t="shared" si="117"/>
        <v>1.5703706379150912</v>
      </c>
      <c r="K276" s="348">
        <f t="shared" si="107"/>
        <v>2.9258633105781957</v>
      </c>
      <c r="L276" s="349">
        <f t="shared" si="108"/>
        <v>1.221986587877955</v>
      </c>
      <c r="M276" s="337">
        <f t="shared" si="118"/>
        <v>1.0014059109809381</v>
      </c>
      <c r="N276" s="340">
        <f t="shared" si="119"/>
        <v>5.299558094583192E-2</v>
      </c>
      <c r="O276" s="341">
        <f t="shared" si="120"/>
        <v>0.99992727052104213</v>
      </c>
      <c r="P276" s="342">
        <f t="shared" si="121"/>
        <v>2.1906247941970308E-2</v>
      </c>
      <c r="Q276" s="343">
        <f t="shared" si="122"/>
        <v>11.086799530196833</v>
      </c>
      <c r="R276" s="344">
        <f t="shared" si="123"/>
        <v>-111.0323719589941</v>
      </c>
      <c r="S276" s="346">
        <f t="shared" si="124"/>
        <v>68.967628041005895</v>
      </c>
      <c r="U276" s="319">
        <f t="shared" si="130"/>
        <v>1000000000</v>
      </c>
      <c r="V276" s="319">
        <f t="shared" si="131"/>
        <v>312644283.0625</v>
      </c>
      <c r="X276" s="345">
        <f t="shared" si="125"/>
        <v>39.601947894426168</v>
      </c>
      <c r="Y276" s="346">
        <f t="shared" si="126"/>
        <v>-22.997358864120805</v>
      </c>
      <c r="AA276" s="345">
        <f t="shared" si="127"/>
        <v>28.317601793865673</v>
      </c>
      <c r="AB276" s="346">
        <f t="shared" si="128"/>
        <v>-88.035013094873293</v>
      </c>
      <c r="AD276">
        <f t="shared" si="132"/>
        <v>0</v>
      </c>
      <c r="AE276">
        <f t="shared" si="109"/>
        <v>0</v>
      </c>
    </row>
    <row r="277" spans="1:31" x14ac:dyDescent="0.2">
      <c r="A277" s="347">
        <v>17783</v>
      </c>
      <c r="B277" s="364">
        <f t="shared" si="129"/>
        <v>17.783000000000001</v>
      </c>
      <c r="C277" s="337">
        <f t="shared" si="110"/>
        <v>43.9511283584078</v>
      </c>
      <c r="D277" s="338">
        <f t="shared" si="111"/>
        <v>1.5480418188409029</v>
      </c>
      <c r="E277" s="338">
        <f t="shared" si="112"/>
        <v>1.0005616430179873</v>
      </c>
      <c r="F277" s="339">
        <f t="shared" si="113"/>
        <v>3.3507619278141339E-2</v>
      </c>
      <c r="G277" s="338">
        <f t="shared" si="114"/>
        <v>1</v>
      </c>
      <c r="H277" s="339">
        <f t="shared" si="115"/>
        <v>0</v>
      </c>
      <c r="I277" s="337">
        <f t="shared" si="116"/>
        <v>2362.5852593569721</v>
      </c>
      <c r="J277" s="340">
        <f t="shared" si="117"/>
        <v>1.5703730616340317</v>
      </c>
      <c r="K277" s="348">
        <f t="shared" si="107"/>
        <v>2.9406653270057745</v>
      </c>
      <c r="L277" s="349">
        <f t="shared" si="108"/>
        <v>1.2238165862841708</v>
      </c>
      <c r="M277" s="337">
        <f t="shared" si="118"/>
        <v>1.0014220467919608</v>
      </c>
      <c r="N277" s="340">
        <f t="shared" si="119"/>
        <v>5.3298473776775927E-2</v>
      </c>
      <c r="O277" s="341">
        <f t="shared" si="120"/>
        <v>0.99992643573997364</v>
      </c>
      <c r="P277" s="342">
        <f t="shared" si="121"/>
        <v>2.2031727082632332E-2</v>
      </c>
      <c r="Q277" s="343">
        <f t="shared" si="122"/>
        <v>11.031388053805829</v>
      </c>
      <c r="R277" s="344">
        <f t="shared" si="123"/>
        <v>-110.94874366954144</v>
      </c>
      <c r="S277" s="346">
        <f t="shared" si="124"/>
        <v>69.051256330458557</v>
      </c>
      <c r="U277" s="319">
        <f t="shared" si="130"/>
        <v>1000000000</v>
      </c>
      <c r="V277" s="319">
        <f t="shared" si="131"/>
        <v>316235089</v>
      </c>
      <c r="X277" s="345">
        <f t="shared" si="125"/>
        <v>39.596043650961207</v>
      </c>
      <c r="Y277" s="346">
        <f t="shared" si="126"/>
        <v>-22.910001028553022</v>
      </c>
      <c r="AA277" s="345">
        <f t="shared" si="127"/>
        <v>28.268094560939623</v>
      </c>
      <c r="AB277" s="346">
        <f t="shared" si="128"/>
        <v>-88.038742640988431</v>
      </c>
      <c r="AD277">
        <f t="shared" si="132"/>
        <v>0</v>
      </c>
      <c r="AE277">
        <f t="shared" si="109"/>
        <v>0</v>
      </c>
    </row>
    <row r="278" spans="1:31" x14ac:dyDescent="0.2">
      <c r="A278" s="347">
        <v>17886.5</v>
      </c>
      <c r="B278" s="364">
        <f t="shared" si="129"/>
        <v>17.886500000000002</v>
      </c>
      <c r="C278" s="337">
        <f t="shared" si="110"/>
        <v>44.206799151103468</v>
      </c>
      <c r="D278" s="338">
        <f t="shared" si="111"/>
        <v>1.5481734424547671</v>
      </c>
      <c r="E278" s="338">
        <f t="shared" si="112"/>
        <v>1.0005681978919936</v>
      </c>
      <c r="F278" s="339">
        <f t="shared" si="113"/>
        <v>3.3702491945640532E-2</v>
      </c>
      <c r="G278" s="338">
        <f t="shared" si="114"/>
        <v>1</v>
      </c>
      <c r="H278" s="339">
        <f t="shared" si="115"/>
        <v>0</v>
      </c>
      <c r="I278" s="337">
        <f t="shared" si="116"/>
        <v>2376.3358937078833</v>
      </c>
      <c r="J278" s="340">
        <f t="shared" si="117"/>
        <v>1.5703755108520991</v>
      </c>
      <c r="K278" s="348">
        <f t="shared" si="107"/>
        <v>2.9558063527080982</v>
      </c>
      <c r="L278" s="349">
        <f t="shared" si="108"/>
        <v>1.2256683010514187</v>
      </c>
      <c r="M278" s="337">
        <f t="shared" si="118"/>
        <v>1.0014386361331631</v>
      </c>
      <c r="N278" s="340">
        <f t="shared" si="119"/>
        <v>5.3608087441801705E-2</v>
      </c>
      <c r="O278" s="341">
        <f t="shared" si="120"/>
        <v>0.99992557749435929</v>
      </c>
      <c r="P278" s="342">
        <f t="shared" si="121"/>
        <v>2.2159995332719191E-2</v>
      </c>
      <c r="Q278" s="343">
        <f t="shared" si="122"/>
        <v>10.975128488126318</v>
      </c>
      <c r="R278" s="344">
        <f t="shared" si="123"/>
        <v>-110.8642534401075</v>
      </c>
      <c r="S278" s="346">
        <f t="shared" si="124"/>
        <v>69.135746559892496</v>
      </c>
      <c r="U278" s="319">
        <f t="shared" si="130"/>
        <v>1000000000</v>
      </c>
      <c r="V278" s="319">
        <f t="shared" si="131"/>
        <v>319926882.25</v>
      </c>
      <c r="X278" s="345">
        <f t="shared" si="125"/>
        <v>39.590100551338907</v>
      </c>
      <c r="Y278" s="346">
        <f t="shared" si="126"/>
        <v>-22.821785473570795</v>
      </c>
      <c r="AA278" s="345">
        <f t="shared" si="127"/>
        <v>28.217778094882419</v>
      </c>
      <c r="AB278" s="346">
        <f t="shared" si="128"/>
        <v>-88.042467966536719</v>
      </c>
      <c r="AD278">
        <f t="shared" si="132"/>
        <v>0</v>
      </c>
      <c r="AE278">
        <f t="shared" si="109"/>
        <v>0</v>
      </c>
    </row>
    <row r="279" spans="1:31" x14ac:dyDescent="0.2">
      <c r="A279" s="347">
        <v>17990</v>
      </c>
      <c r="B279" s="364">
        <f t="shared" si="129"/>
        <v>17.989999999999998</v>
      </c>
      <c r="C279" s="337">
        <f t="shared" si="110"/>
        <v>44.462470700864074</v>
      </c>
      <c r="D279" s="338">
        <f t="shared" si="111"/>
        <v>1.5483035523262243</v>
      </c>
      <c r="E279" s="338">
        <f t="shared" si="112"/>
        <v>1.0005747907624349</v>
      </c>
      <c r="F279" s="339">
        <f t="shared" si="113"/>
        <v>3.3897362052475503E-2</v>
      </c>
      <c r="G279" s="338">
        <f t="shared" si="114"/>
        <v>1</v>
      </c>
      <c r="H279" s="339">
        <f t="shared" si="115"/>
        <v>0</v>
      </c>
      <c r="I279" s="337">
        <f t="shared" si="116"/>
        <v>2390.0865280728849</v>
      </c>
      <c r="J279" s="340">
        <f t="shared" si="117"/>
        <v>1.5703779318885072</v>
      </c>
      <c r="K279" s="348">
        <f t="shared" ref="K279:K342" si="133">SQRT(1+(A279/Zero2)^2)</f>
        <v>2.9709574100967053</v>
      </c>
      <c r="L279" s="349">
        <f t="shared" ref="L279:L342" si="134">ATAN(A279/Zero2)</f>
        <v>1.2275011355881615</v>
      </c>
      <c r="M279" s="337">
        <f t="shared" si="118"/>
        <v>1.0014553214697099</v>
      </c>
      <c r="N279" s="340">
        <f t="shared" si="119"/>
        <v>5.3917690819503594E-2</v>
      </c>
      <c r="O279" s="341">
        <f t="shared" si="120"/>
        <v>0.99992471428111374</v>
      </c>
      <c r="P279" s="342">
        <f t="shared" si="121"/>
        <v>2.2288264278394896E-2</v>
      </c>
      <c r="Q279" s="343">
        <f t="shared" si="122"/>
        <v>10.919251105575405</v>
      </c>
      <c r="R279" s="344">
        <f t="shared" si="123"/>
        <v>-110.78075621960686</v>
      </c>
      <c r="S279" s="346">
        <f t="shared" si="124"/>
        <v>69.219243780393143</v>
      </c>
      <c r="U279" s="319">
        <f t="shared" si="130"/>
        <v>1000000000</v>
      </c>
      <c r="V279" s="319">
        <f t="shared" si="131"/>
        <v>323640100</v>
      </c>
      <c r="X279" s="345">
        <f t="shared" si="125"/>
        <v>39.584248870290295</v>
      </c>
      <c r="Y279" s="346">
        <f t="shared" si="126"/>
        <v>-22.734649472003586</v>
      </c>
      <c r="AA279" s="345">
        <f t="shared" si="127"/>
        <v>28.167752393380123</v>
      </c>
      <c r="AB279" s="346">
        <f t="shared" si="128"/>
        <v>-88.046106747603275</v>
      </c>
      <c r="AD279">
        <f t="shared" si="132"/>
        <v>0</v>
      </c>
      <c r="AE279">
        <f t="shared" si="109"/>
        <v>0</v>
      </c>
    </row>
    <row r="280" spans="1:31" x14ac:dyDescent="0.2">
      <c r="A280" s="347">
        <v>18093.5</v>
      </c>
      <c r="B280" s="364">
        <f t="shared" si="129"/>
        <v>18.093499999999999</v>
      </c>
      <c r="C280" s="337">
        <f t="shared" si="110"/>
        <v>44.718142994704287</v>
      </c>
      <c r="D280" s="338">
        <f t="shared" si="111"/>
        <v>1.5484321744149234</v>
      </c>
      <c r="E280" s="338">
        <f t="shared" si="112"/>
        <v>1.0005814216285607</v>
      </c>
      <c r="F280" s="339">
        <f t="shared" si="113"/>
        <v>3.4092229583896891E-2</v>
      </c>
      <c r="G280" s="338">
        <f t="shared" si="114"/>
        <v>1</v>
      </c>
      <c r="H280" s="339">
        <f t="shared" si="115"/>
        <v>0</v>
      </c>
      <c r="I280" s="337">
        <f t="shared" si="116"/>
        <v>2403.8371624517358</v>
      </c>
      <c r="J280" s="340">
        <f t="shared" si="117"/>
        <v>1.5703803252268773</v>
      </c>
      <c r="K280" s="348">
        <f t="shared" si="133"/>
        <v>2.9861183464743828</v>
      </c>
      <c r="L280" s="349">
        <f t="shared" si="134"/>
        <v>1.2293153650584359</v>
      </c>
      <c r="M280" s="337">
        <f t="shared" si="118"/>
        <v>1.001472102796803</v>
      </c>
      <c r="N280" s="340">
        <f t="shared" si="119"/>
        <v>5.422728385104366E-2</v>
      </c>
      <c r="O280" s="341">
        <f t="shared" si="120"/>
        <v>0.99992384610046281</v>
      </c>
      <c r="P280" s="342">
        <f t="shared" si="121"/>
        <v>2.2416533923683341E-2</v>
      </c>
      <c r="Q280" s="343">
        <f t="shared" si="122"/>
        <v>10.86375066917698</v>
      </c>
      <c r="R280" s="344">
        <f t="shared" si="123"/>
        <v>-110.69823775509377</v>
      </c>
      <c r="S280" s="346">
        <f t="shared" si="124"/>
        <v>69.301762244906229</v>
      </c>
      <c r="U280" s="319">
        <f t="shared" si="130"/>
        <v>1000000000</v>
      </c>
      <c r="V280" s="319">
        <f t="shared" si="131"/>
        <v>327374742.25</v>
      </c>
      <c r="X280" s="345">
        <f t="shared" si="125"/>
        <v>39.578486697602855</v>
      </c>
      <c r="Y280" s="346">
        <f t="shared" si="126"/>
        <v>-22.648577282451722</v>
      </c>
      <c r="AA280" s="345">
        <f t="shared" si="127"/>
        <v>28.118014129669135</v>
      </c>
      <c r="AB280" s="346">
        <f t="shared" si="128"/>
        <v>-88.049660472642032</v>
      </c>
      <c r="AD280">
        <f t="shared" si="132"/>
        <v>0</v>
      </c>
      <c r="AE280">
        <f t="shared" si="109"/>
        <v>0</v>
      </c>
    </row>
    <row r="281" spans="1:31" x14ac:dyDescent="0.2">
      <c r="A281" s="347">
        <v>18197</v>
      </c>
      <c r="B281" s="364">
        <f t="shared" si="129"/>
        <v>18.196999999999999</v>
      </c>
      <c r="C281" s="337">
        <f t="shared" si="110"/>
        <v>44.973816019934013</v>
      </c>
      <c r="D281" s="338">
        <f t="shared" si="111"/>
        <v>1.5485593340903969</v>
      </c>
      <c r="E281" s="338">
        <f t="shared" si="112"/>
        <v>1.0005880904896154</v>
      </c>
      <c r="F281" s="339">
        <f t="shared" si="113"/>
        <v>3.4287094525156478E-2</v>
      </c>
      <c r="G281" s="338">
        <f t="shared" si="114"/>
        <v>1</v>
      </c>
      <c r="H281" s="339">
        <f t="shared" si="115"/>
        <v>0</v>
      </c>
      <c r="I281" s="337">
        <f t="shared" si="116"/>
        <v>2417.5877968441996</v>
      </c>
      <c r="J281" s="340">
        <f t="shared" si="117"/>
        <v>1.5703826913398282</v>
      </c>
      <c r="K281" s="348">
        <f t="shared" si="133"/>
        <v>3.001289012130735</v>
      </c>
      <c r="L281" s="349">
        <f t="shared" si="134"/>
        <v>1.2311112595581257</v>
      </c>
      <c r="M281" s="337">
        <f t="shared" si="118"/>
        <v>1.0014889801096167</v>
      </c>
      <c r="N281" s="340">
        <f t="shared" si="119"/>
        <v>5.4536866477595841E-2</v>
      </c>
      <c r="O281" s="341">
        <f t="shared" si="120"/>
        <v>0.99992297295263377</v>
      </c>
      <c r="P281" s="342">
        <f t="shared" si="121"/>
        <v>2.2544804272608385E-2</v>
      </c>
      <c r="Q281" s="343">
        <f t="shared" si="122"/>
        <v>10.808622047058893</v>
      </c>
      <c r="R281" s="344">
        <f t="shared" si="123"/>
        <v>-110.61668404956527</v>
      </c>
      <c r="S281" s="346">
        <f t="shared" si="124"/>
        <v>69.383315950434735</v>
      </c>
      <c r="U281" s="319">
        <f t="shared" si="130"/>
        <v>1000000000</v>
      </c>
      <c r="V281" s="319">
        <f t="shared" si="131"/>
        <v>331130809</v>
      </c>
      <c r="X281" s="345">
        <f t="shared" si="125"/>
        <v>39.572812171354784</v>
      </c>
      <c r="Y281" s="346">
        <f t="shared" si="126"/>
        <v>-22.563553453269535</v>
      </c>
      <c r="AA281" s="345">
        <f t="shared" si="127"/>
        <v>28.068560033799113</v>
      </c>
      <c r="AB281" s="346">
        <f t="shared" si="128"/>
        <v>-88.053130596295716</v>
      </c>
      <c r="AD281">
        <f t="shared" si="132"/>
        <v>0</v>
      </c>
      <c r="AE281">
        <f t="shared" si="109"/>
        <v>0</v>
      </c>
    </row>
    <row r="282" spans="1:31" x14ac:dyDescent="0.2">
      <c r="A282" s="347">
        <v>18303</v>
      </c>
      <c r="B282" s="364">
        <f t="shared" si="129"/>
        <v>18.303000000000001</v>
      </c>
      <c r="C282" s="337">
        <f t="shared" si="110"/>
        <v>45.235665467246228</v>
      </c>
      <c r="D282" s="338">
        <f t="shared" si="111"/>
        <v>1.548688075334919</v>
      </c>
      <c r="E282" s="338">
        <f t="shared" si="112"/>
        <v>1.0005949598161172</v>
      </c>
      <c r="F282" s="339">
        <f t="shared" si="113"/>
        <v>3.4486663648882664E-2</v>
      </c>
      <c r="G282" s="338">
        <f t="shared" si="114"/>
        <v>1</v>
      </c>
      <c r="H282" s="339">
        <f t="shared" si="115"/>
        <v>0</v>
      </c>
      <c r="I282" s="337">
        <f t="shared" si="116"/>
        <v>2431.6705721778858</v>
      </c>
      <c r="J282" s="340">
        <f t="shared" si="117"/>
        <v>1.5703850868680629</v>
      </c>
      <c r="K282" s="348">
        <f t="shared" si="133"/>
        <v>3.0168360502512996</v>
      </c>
      <c r="L282" s="349">
        <f t="shared" si="134"/>
        <v>1.2329318055251615</v>
      </c>
      <c r="M282" s="337">
        <f t="shared" si="118"/>
        <v>1.0015063645733859</v>
      </c>
      <c r="N282" s="340">
        <f t="shared" si="119"/>
        <v>5.4853916098900543E-2</v>
      </c>
      <c r="O282" s="341">
        <f t="shared" si="120"/>
        <v>0.99992207356591878</v>
      </c>
      <c r="P282" s="342">
        <f t="shared" si="121"/>
        <v>2.2676173672680652E-2</v>
      </c>
      <c r="Q282" s="343">
        <f t="shared" si="122"/>
        <v>10.752541955468613</v>
      </c>
      <c r="R282" s="344">
        <f t="shared" si="123"/>
        <v>-110.53414608163581</v>
      </c>
      <c r="S282" s="346">
        <f t="shared" si="124"/>
        <v>69.465853918364189</v>
      </c>
      <c r="U282" s="319">
        <f t="shared" si="130"/>
        <v>1000000000</v>
      </c>
      <c r="V282" s="319">
        <f t="shared" si="131"/>
        <v>334999809</v>
      </c>
      <c r="X282" s="345">
        <f t="shared" si="125"/>
        <v>39.567089530645163</v>
      </c>
      <c r="Y282" s="346">
        <f t="shared" si="126"/>
        <v>-22.477546711705081</v>
      </c>
      <c r="AA282" s="345">
        <f t="shared" si="127"/>
        <v>28.018202582918455</v>
      </c>
      <c r="AB282" s="346">
        <f t="shared" si="128"/>
        <v>-88.056599369930723</v>
      </c>
      <c r="AD282">
        <f t="shared" si="132"/>
        <v>0</v>
      </c>
      <c r="AE282">
        <f t="shared" ref="AE282:AE345" si="135">IF(AD282&gt;0,S282,0)</f>
        <v>0</v>
      </c>
    </row>
    <row r="283" spans="1:31" x14ac:dyDescent="0.2">
      <c r="A283" s="347">
        <v>18409</v>
      </c>
      <c r="B283" s="364">
        <f t="shared" si="129"/>
        <v>18.408999999999999</v>
      </c>
      <c r="C283" s="337">
        <f t="shared" si="110"/>
        <v>45.497515655678299</v>
      </c>
      <c r="D283" s="338">
        <f t="shared" si="111"/>
        <v>1.5488153347019749</v>
      </c>
      <c r="E283" s="338">
        <f t="shared" si="112"/>
        <v>1.000601868993602</v>
      </c>
      <c r="F283" s="339">
        <f t="shared" si="113"/>
        <v>3.4686230024498839E-2</v>
      </c>
      <c r="G283" s="338">
        <f t="shared" si="114"/>
        <v>1</v>
      </c>
      <c r="H283" s="339">
        <f t="shared" si="115"/>
        <v>0</v>
      </c>
      <c r="I283" s="337">
        <f t="shared" si="116"/>
        <v>2445.7533475253658</v>
      </c>
      <c r="J283" s="340">
        <f t="shared" si="117"/>
        <v>1.5703874548091445</v>
      </c>
      <c r="K283" s="348">
        <f t="shared" si="133"/>
        <v>3.032392984787589</v>
      </c>
      <c r="L283" s="349">
        <f t="shared" si="134"/>
        <v>1.2347336777009492</v>
      </c>
      <c r="M283" s="337">
        <f t="shared" si="118"/>
        <v>1.0015238497055374</v>
      </c>
      <c r="N283" s="340">
        <f t="shared" si="119"/>
        <v>5.5170954681633813E-2</v>
      </c>
      <c r="O283" s="341">
        <f t="shared" si="120"/>
        <v>0.99992116896965344</v>
      </c>
      <c r="P283" s="342">
        <f t="shared" si="121"/>
        <v>2.2807543819335245E-2</v>
      </c>
      <c r="Q283" s="343">
        <f t="shared" si="122"/>
        <v>10.696841287777833</v>
      </c>
      <c r="R283" s="344">
        <f t="shared" si="123"/>
        <v>-110.45259112494905</v>
      </c>
      <c r="S283" s="346">
        <f t="shared" si="124"/>
        <v>69.547408875050948</v>
      </c>
      <c r="U283" s="319">
        <f t="shared" si="130"/>
        <v>1000000000</v>
      </c>
      <c r="V283" s="319">
        <f t="shared" si="131"/>
        <v>338891281</v>
      </c>
      <c r="X283" s="345">
        <f t="shared" si="125"/>
        <v>39.561455017663832</v>
      </c>
      <c r="Y283" s="346">
        <f t="shared" si="126"/>
        <v>-22.392607686476875</v>
      </c>
      <c r="AA283" s="345">
        <f t="shared" si="127"/>
        <v>27.968136428209007</v>
      </c>
      <c r="AB283" s="346">
        <f t="shared" si="128"/>
        <v>-88.059983438472202</v>
      </c>
      <c r="AD283">
        <f t="shared" si="132"/>
        <v>0</v>
      </c>
      <c r="AE283">
        <f t="shared" si="135"/>
        <v>0</v>
      </c>
    </row>
    <row r="284" spans="1:31" x14ac:dyDescent="0.2">
      <c r="A284" s="347">
        <v>18515</v>
      </c>
      <c r="B284" s="364">
        <f t="shared" si="129"/>
        <v>18.515000000000001</v>
      </c>
      <c r="C284" s="337">
        <f t="shared" si="110"/>
        <v>45.759366572507417</v>
      </c>
      <c r="D284" s="338">
        <f t="shared" si="111"/>
        <v>1.548941137626852</v>
      </c>
      <c r="E284" s="338">
        <f t="shared" si="112"/>
        <v>1.0006088180212445</v>
      </c>
      <c r="F284" s="339">
        <f t="shared" si="113"/>
        <v>3.4885793636165958E-2</v>
      </c>
      <c r="G284" s="338">
        <f t="shared" si="114"/>
        <v>1</v>
      </c>
      <c r="H284" s="339">
        <f t="shared" si="115"/>
        <v>0</v>
      </c>
      <c r="I284" s="337">
        <f t="shared" si="116"/>
        <v>2459.8361228864028</v>
      </c>
      <c r="J284" s="340">
        <f t="shared" si="117"/>
        <v>1.5703897956368895</v>
      </c>
      <c r="K284" s="348">
        <f t="shared" si="133"/>
        <v>3.0479596642042441</v>
      </c>
      <c r="L284" s="349">
        <f t="shared" si="134"/>
        <v>1.2365171504095729</v>
      </c>
      <c r="M284" s="337">
        <f t="shared" si="118"/>
        <v>1.0015414355007985</v>
      </c>
      <c r="N284" s="340">
        <f t="shared" si="119"/>
        <v>5.5487982162642183E-2</v>
      </c>
      <c r="O284" s="341">
        <f t="shared" si="120"/>
        <v>0.99992025916408622</v>
      </c>
      <c r="P284" s="342">
        <f t="shared" si="121"/>
        <v>2.2938914716894646E-2</v>
      </c>
      <c r="Q284" s="343">
        <f t="shared" si="122"/>
        <v>10.641514856469978</v>
      </c>
      <c r="R284" s="344">
        <f t="shared" si="123"/>
        <v>-110.37200494391183</v>
      </c>
      <c r="S284" s="346">
        <f t="shared" si="124"/>
        <v>69.627995056088167</v>
      </c>
      <c r="U284" s="319">
        <f t="shared" si="130"/>
        <v>1000000000</v>
      </c>
      <c r="V284" s="319">
        <f t="shared" si="131"/>
        <v>342805225</v>
      </c>
      <c r="X284" s="345">
        <f t="shared" si="125"/>
        <v>39.555906780575128</v>
      </c>
      <c r="Y284" s="346">
        <f t="shared" si="126"/>
        <v>-22.30872068350191</v>
      </c>
      <c r="AA284" s="345">
        <f t="shared" si="127"/>
        <v>27.918358233989853</v>
      </c>
      <c r="AB284" s="346">
        <f t="shared" si="128"/>
        <v>-88.063284260409915</v>
      </c>
      <c r="AD284">
        <f t="shared" si="132"/>
        <v>0</v>
      </c>
      <c r="AE284">
        <f t="shared" si="135"/>
        <v>0</v>
      </c>
    </row>
    <row r="285" spans="1:31" x14ac:dyDescent="0.2">
      <c r="A285" s="347">
        <v>18621</v>
      </c>
      <c r="B285" s="364">
        <f t="shared" si="129"/>
        <v>18.620999999999999</v>
      </c>
      <c r="C285" s="337">
        <f t="shared" si="110"/>
        <v>46.021218205300336</v>
      </c>
      <c r="D285" s="338">
        <f t="shared" si="111"/>
        <v>1.5490655089661385</v>
      </c>
      <c r="E285" s="338">
        <f t="shared" si="112"/>
        <v>1.0006158068982141</v>
      </c>
      <c r="F285" s="339">
        <f t="shared" si="113"/>
        <v>3.5085354468046261E-2</v>
      </c>
      <c r="G285" s="338">
        <f t="shared" si="114"/>
        <v>1</v>
      </c>
      <c r="H285" s="339">
        <f t="shared" si="115"/>
        <v>0</v>
      </c>
      <c r="I285" s="337">
        <f t="shared" si="116"/>
        <v>2473.9188982607643</v>
      </c>
      <c r="J285" s="340">
        <f t="shared" si="117"/>
        <v>1.5703921098143259</v>
      </c>
      <c r="K285" s="348">
        <f t="shared" si="133"/>
        <v>3.0635359399519144</v>
      </c>
      <c r="L285" s="349">
        <f t="shared" si="134"/>
        <v>1.2382824928694629</v>
      </c>
      <c r="M285" s="337">
        <f t="shared" si="118"/>
        <v>1.0015591219538664</v>
      </c>
      <c r="N285" s="340">
        <f t="shared" si="119"/>
        <v>5.5804998478785534E-2</v>
      </c>
      <c r="O285" s="341">
        <f t="shared" si="120"/>
        <v>0.9999193441494667</v>
      </c>
      <c r="P285" s="342">
        <f t="shared" si="121"/>
        <v>2.3070286369681323E-2</v>
      </c>
      <c r="Q285" s="343">
        <f t="shared" si="122"/>
        <v>10.586557578122926</v>
      </c>
      <c r="R285" s="344">
        <f t="shared" si="123"/>
        <v>-110.29237356168883</v>
      </c>
      <c r="S285" s="346">
        <f t="shared" si="124"/>
        <v>69.707626438311166</v>
      </c>
      <c r="U285" s="319">
        <f t="shared" si="130"/>
        <v>1000000000</v>
      </c>
      <c r="V285" s="319">
        <f t="shared" si="131"/>
        <v>346741641</v>
      </c>
      <c r="X285" s="345">
        <f t="shared" si="125"/>
        <v>39.550443014619503</v>
      </c>
      <c r="Y285" s="346">
        <f t="shared" si="126"/>
        <v>-22.22587030061225</v>
      </c>
      <c r="AA285" s="345">
        <f t="shared" si="127"/>
        <v>27.868864721598428</v>
      </c>
      <c r="AB285" s="346">
        <f t="shared" si="128"/>
        <v>-88.066503261076576</v>
      </c>
      <c r="AD285">
        <f t="shared" si="132"/>
        <v>0</v>
      </c>
      <c r="AE285">
        <f t="shared" si="135"/>
        <v>0</v>
      </c>
    </row>
    <row r="286" spans="1:31" x14ac:dyDescent="0.2">
      <c r="A286" s="347">
        <v>18729.5</v>
      </c>
      <c r="B286" s="364">
        <f t="shared" si="129"/>
        <v>18.729500000000002</v>
      </c>
      <c r="C286" s="337">
        <f t="shared" si="110"/>
        <v>46.28924631295903</v>
      </c>
      <c r="D286" s="338">
        <f t="shared" si="111"/>
        <v>1.5491913563171571</v>
      </c>
      <c r="E286" s="338">
        <f t="shared" si="112"/>
        <v>1.0006230018764903</v>
      </c>
      <c r="F286" s="339">
        <f t="shared" si="113"/>
        <v>3.5289619027888526E-2</v>
      </c>
      <c r="G286" s="338">
        <f t="shared" si="114"/>
        <v>1</v>
      </c>
      <c r="H286" s="339">
        <f t="shared" si="115"/>
        <v>0</v>
      </c>
      <c r="I286" s="337">
        <f t="shared" si="116"/>
        <v>2488.3338145773309</v>
      </c>
      <c r="J286" s="340">
        <f t="shared" si="117"/>
        <v>1.5703944514431818</v>
      </c>
      <c r="K286" s="348">
        <f t="shared" si="133"/>
        <v>3.0794893671915013</v>
      </c>
      <c r="L286" s="349">
        <f t="shared" si="134"/>
        <v>1.2400709698400352</v>
      </c>
      <c r="M286" s="337">
        <f t="shared" si="118"/>
        <v>1.0015773297815052</v>
      </c>
      <c r="N286" s="340">
        <f t="shared" si="119"/>
        <v>5.6129479965992837E-2</v>
      </c>
      <c r="O286" s="341">
        <f t="shared" si="120"/>
        <v>0.99991840215979233</v>
      </c>
      <c r="P286" s="342">
        <f t="shared" si="121"/>
        <v>2.3204757197172427E-2</v>
      </c>
      <c r="Q286" s="343">
        <f t="shared" si="122"/>
        <v>10.530681253226955</v>
      </c>
      <c r="R286" s="344">
        <f t="shared" si="123"/>
        <v>-110.21183860040048</v>
      </c>
      <c r="S286" s="346">
        <f t="shared" si="124"/>
        <v>69.788161399599517</v>
      </c>
      <c r="U286" s="319">
        <f t="shared" si="130"/>
        <v>1000000000</v>
      </c>
      <c r="V286" s="319">
        <f t="shared" si="131"/>
        <v>350794170.25</v>
      </c>
      <c r="X286" s="345">
        <f t="shared" si="125"/>
        <v>39.544936033395224</v>
      </c>
      <c r="Y286" s="346">
        <f t="shared" si="126"/>
        <v>-22.142123703544154</v>
      </c>
      <c r="AA286" s="345">
        <f t="shared" si="127"/>
        <v>27.818495377926741</v>
      </c>
      <c r="AB286" s="346">
        <f t="shared" si="128"/>
        <v>-88.069714896856325</v>
      </c>
      <c r="AD286">
        <f t="shared" si="132"/>
        <v>0</v>
      </c>
      <c r="AE286">
        <f t="shared" si="135"/>
        <v>0</v>
      </c>
    </row>
    <row r="287" spans="1:31" x14ac:dyDescent="0.2">
      <c r="A287" s="347">
        <v>18838</v>
      </c>
      <c r="B287" s="364">
        <f t="shared" si="129"/>
        <v>18.838000000000001</v>
      </c>
      <c r="C287" s="337">
        <f t="shared" si="110"/>
        <v>46.557275145285303</v>
      </c>
      <c r="D287" s="338">
        <f t="shared" si="111"/>
        <v>1.5493157546712994</v>
      </c>
      <c r="E287" s="338">
        <f t="shared" si="112"/>
        <v>1.0006302386041699</v>
      </c>
      <c r="F287" s="339">
        <f t="shared" si="113"/>
        <v>3.5493880641701378E-2</v>
      </c>
      <c r="G287" s="338">
        <f t="shared" si="114"/>
        <v>1</v>
      </c>
      <c r="H287" s="339">
        <f t="shared" si="115"/>
        <v>0</v>
      </c>
      <c r="I287" s="337">
        <f t="shared" si="116"/>
        <v>2502.7487309073845</v>
      </c>
      <c r="J287" s="340">
        <f t="shared" si="117"/>
        <v>1.5703967660981879</v>
      </c>
      <c r="K287" s="348">
        <f t="shared" si="133"/>
        <v>3.0954525430885549</v>
      </c>
      <c r="L287" s="349">
        <f t="shared" si="134"/>
        <v>1.241841006156513</v>
      </c>
      <c r="M287" s="337">
        <f t="shared" si="118"/>
        <v>1.0015956430596131</v>
      </c>
      <c r="N287" s="340">
        <f t="shared" si="119"/>
        <v>5.6453949621655945E-2</v>
      </c>
      <c r="O287" s="341">
        <f t="shared" si="120"/>
        <v>0.99991745471299198</v>
      </c>
      <c r="P287" s="342">
        <f t="shared" si="121"/>
        <v>2.3339228825099079E-2</v>
      </c>
      <c r="Q287" s="343">
        <f t="shared" si="122"/>
        <v>10.475181244382128</v>
      </c>
      <c r="R287" s="344">
        <f t="shared" si="123"/>
        <v>-110.1322751806301</v>
      </c>
      <c r="S287" s="346">
        <f t="shared" si="124"/>
        <v>69.867724819369897</v>
      </c>
      <c r="U287" s="319">
        <f t="shared" si="130"/>
        <v>1000000000</v>
      </c>
      <c r="V287" s="319">
        <f t="shared" si="131"/>
        <v>354870244</v>
      </c>
      <c r="X287" s="345">
        <f t="shared" si="125"/>
        <v>39.539513873483124</v>
      </c>
      <c r="Y287" s="346">
        <f t="shared" si="126"/>
        <v>-22.059431454743031</v>
      </c>
      <c r="AA287" s="345">
        <f t="shared" si="127"/>
        <v>27.768417528994011</v>
      </c>
      <c r="AB287" s="346">
        <f t="shared" si="128"/>
        <v>-88.072843725887083</v>
      </c>
      <c r="AD287">
        <f t="shared" si="132"/>
        <v>0</v>
      </c>
      <c r="AE287">
        <f t="shared" si="135"/>
        <v>0</v>
      </c>
    </row>
    <row r="288" spans="1:31" x14ac:dyDescent="0.2">
      <c r="A288" s="347">
        <v>18946.5</v>
      </c>
      <c r="B288" s="364">
        <f t="shared" si="129"/>
        <v>18.9465</v>
      </c>
      <c r="C288" s="337">
        <f t="shared" si="110"/>
        <v>46.825304689835107</v>
      </c>
      <c r="D288" s="338">
        <f t="shared" si="111"/>
        <v>1.549438728906996</v>
      </c>
      <c r="E288" s="338">
        <f t="shared" si="112"/>
        <v>1.0006375170803465</v>
      </c>
      <c r="F288" s="339">
        <f t="shared" si="113"/>
        <v>3.5698139292504191E-2</v>
      </c>
      <c r="G288" s="338">
        <f t="shared" si="114"/>
        <v>1</v>
      </c>
      <c r="H288" s="339">
        <f t="shared" si="115"/>
        <v>0</v>
      </c>
      <c r="I288" s="337">
        <f t="shared" si="116"/>
        <v>2517.163647250693</v>
      </c>
      <c r="J288" s="340">
        <f t="shared" si="117"/>
        <v>1.5703990542427539</v>
      </c>
      <c r="K288" s="348">
        <f t="shared" si="133"/>
        <v>3.1114253175965398</v>
      </c>
      <c r="L288" s="349">
        <f t="shared" si="134"/>
        <v>1.2435928746417313</v>
      </c>
      <c r="M288" s="337">
        <f t="shared" si="118"/>
        <v>1.0016140617824063</v>
      </c>
      <c r="N288" s="340">
        <f t="shared" si="119"/>
        <v>5.6778407378105016E-2</v>
      </c>
      <c r="O288" s="341">
        <f t="shared" si="120"/>
        <v>0.99991650180933822</v>
      </c>
      <c r="P288" s="342">
        <f t="shared" si="121"/>
        <v>2.3473701258096759E-2</v>
      </c>
      <c r="Q288" s="343">
        <f t="shared" si="122"/>
        <v>10.420052421448215</v>
      </c>
      <c r="R288" s="344">
        <f t="shared" si="123"/>
        <v>-110.05366912012251</v>
      </c>
      <c r="S288" s="346">
        <f t="shared" si="124"/>
        <v>69.946330879877493</v>
      </c>
      <c r="U288" s="319">
        <f t="shared" si="130"/>
        <v>1000000000</v>
      </c>
      <c r="V288" s="319">
        <f t="shared" si="131"/>
        <v>358969862.25</v>
      </c>
      <c r="X288" s="345">
        <f t="shared" si="125"/>
        <v>39.534174743621755</v>
      </c>
      <c r="Y288" s="346">
        <f t="shared" si="126"/>
        <v>-21.977777945286118</v>
      </c>
      <c r="AA288" s="345">
        <f t="shared" si="127"/>
        <v>27.718627835921463</v>
      </c>
      <c r="AB288" s="346">
        <f t="shared" si="128"/>
        <v>-88.0758911748364</v>
      </c>
      <c r="AD288">
        <f t="shared" si="132"/>
        <v>0</v>
      </c>
      <c r="AE288">
        <f t="shared" si="135"/>
        <v>0</v>
      </c>
    </row>
    <row r="289" spans="1:31" x14ac:dyDescent="0.2">
      <c r="A289" s="347">
        <v>19055</v>
      </c>
      <c r="B289" s="364">
        <f t="shared" si="129"/>
        <v>19.055</v>
      </c>
      <c r="C289" s="337">
        <f t="shared" si="110"/>
        <v>47.093334934447704</v>
      </c>
      <c r="D289" s="338">
        <f t="shared" si="111"/>
        <v>1.549560303336472</v>
      </c>
      <c r="E289" s="338">
        <f t="shared" si="112"/>
        <v>1.0006448373041095</v>
      </c>
      <c r="F289" s="339">
        <f t="shared" si="113"/>
        <v>3.5902394963317825E-2</v>
      </c>
      <c r="G289" s="338">
        <f t="shared" si="114"/>
        <v>1</v>
      </c>
      <c r="H289" s="339">
        <f t="shared" si="115"/>
        <v>0</v>
      </c>
      <c r="I289" s="337">
        <f t="shared" si="116"/>
        <v>2531.5785636070304</v>
      </c>
      <c r="J289" s="340">
        <f t="shared" si="117"/>
        <v>1.5704013163297341</v>
      </c>
      <c r="K289" s="348">
        <f t="shared" si="133"/>
        <v>3.1274075436449746</v>
      </c>
      <c r="L289" s="349">
        <f t="shared" si="134"/>
        <v>1.2453268429927224</v>
      </c>
      <c r="M289" s="337">
        <f t="shared" si="118"/>
        <v>1.0016325859440676</v>
      </c>
      <c r="N289" s="340">
        <f t="shared" si="119"/>
        <v>5.7102853167685194E-2</v>
      </c>
      <c r="O289" s="341">
        <f t="shared" si="120"/>
        <v>0.99991554344910505</v>
      </c>
      <c r="P289" s="342">
        <f t="shared" si="121"/>
        <v>2.3608174500800945E-2</v>
      </c>
      <c r="Q289" s="343">
        <f t="shared" si="122"/>
        <v>10.365289757135116</v>
      </c>
      <c r="R289" s="344">
        <f t="shared" si="123"/>
        <v>-109.97600649726417</v>
      </c>
      <c r="S289" s="346">
        <f t="shared" si="124"/>
        <v>70.023993502735834</v>
      </c>
      <c r="U289" s="319">
        <f t="shared" si="130"/>
        <v>1000000000</v>
      </c>
      <c r="V289" s="319">
        <f t="shared" si="131"/>
        <v>363093025</v>
      </c>
      <c r="X289" s="345">
        <f t="shared" si="125"/>
        <v>39.528916898306321</v>
      </c>
      <c r="Y289" s="346">
        <f t="shared" si="126"/>
        <v>-21.897147859333518</v>
      </c>
      <c r="AA289" s="345">
        <f t="shared" si="127"/>
        <v>27.669123016923798</v>
      </c>
      <c r="AB289" s="346">
        <f t="shared" si="128"/>
        <v>-88.078858637930622</v>
      </c>
      <c r="AD289">
        <f t="shared" si="132"/>
        <v>0</v>
      </c>
      <c r="AE289">
        <f t="shared" si="135"/>
        <v>0</v>
      </c>
    </row>
    <row r="290" spans="1:31" x14ac:dyDescent="0.2">
      <c r="A290" s="347">
        <v>19165.75</v>
      </c>
      <c r="B290" s="364">
        <f t="shared" si="129"/>
        <v>19.165749999999999</v>
      </c>
      <c r="C290" s="337">
        <f t="shared" si="110"/>
        <v>47.366924119587743</v>
      </c>
      <c r="D290" s="338">
        <f t="shared" si="111"/>
        <v>1.5496829799178953</v>
      </c>
      <c r="E290" s="338">
        <f t="shared" si="112"/>
        <v>1.0006523523839592</v>
      </c>
      <c r="F290" s="339">
        <f t="shared" si="113"/>
        <v>3.6110883259851415E-2</v>
      </c>
      <c r="G290" s="338">
        <f t="shared" si="114"/>
        <v>1</v>
      </c>
      <c r="H290" s="339">
        <f t="shared" si="115"/>
        <v>0</v>
      </c>
      <c r="I290" s="337">
        <f t="shared" si="116"/>
        <v>2546.2924068134575</v>
      </c>
      <c r="J290" s="340">
        <f t="shared" si="117"/>
        <v>1.5704035989121798</v>
      </c>
      <c r="K290" s="348">
        <f t="shared" si="133"/>
        <v>3.1437307962230134</v>
      </c>
      <c r="L290" s="349">
        <f t="shared" si="134"/>
        <v>1.2470785811869463</v>
      </c>
      <c r="M290" s="337">
        <f t="shared" si="118"/>
        <v>1.0016516029825753</v>
      </c>
      <c r="N290" s="340">
        <f t="shared" si="119"/>
        <v>5.7434014683835237E-2</v>
      </c>
      <c r="O290" s="341">
        <f t="shared" si="120"/>
        <v>0.99991455958784314</v>
      </c>
      <c r="P290" s="342">
        <f t="shared" si="121"/>
        <v>2.3745437199018248E-2</v>
      </c>
      <c r="Q290" s="343">
        <f t="shared" si="122"/>
        <v>10.309763972588478</v>
      </c>
      <c r="R290" s="344">
        <f t="shared" si="123"/>
        <v>-109.8976921555707</v>
      </c>
      <c r="S290" s="346">
        <f t="shared" si="124"/>
        <v>70.102307844429305</v>
      </c>
      <c r="U290" s="319">
        <f t="shared" si="130"/>
        <v>1000000000</v>
      </c>
      <c r="V290" s="319">
        <f t="shared" si="131"/>
        <v>367325973.0625</v>
      </c>
      <c r="X290" s="345">
        <f t="shared" si="125"/>
        <v>39.523632083497588</v>
      </c>
      <c r="Y290" s="346">
        <f t="shared" si="126"/>
        <v>-21.815885593452855</v>
      </c>
      <c r="AA290" s="345">
        <f t="shared" si="127"/>
        <v>27.618882047185892</v>
      </c>
      <c r="AB290" s="346">
        <f t="shared" si="128"/>
        <v>-88.081806562117833</v>
      </c>
      <c r="AD290">
        <f t="shared" si="132"/>
        <v>0</v>
      </c>
      <c r="AE290">
        <f t="shared" si="135"/>
        <v>0</v>
      </c>
    </row>
    <row r="291" spans="1:31" x14ac:dyDescent="0.2">
      <c r="A291" s="347">
        <v>19276.5</v>
      </c>
      <c r="B291" s="364">
        <f t="shared" si="129"/>
        <v>19.276499999999999</v>
      </c>
      <c r="C291" s="337">
        <f t="shared" si="110"/>
        <v>47.64051400939087</v>
      </c>
      <c r="D291" s="338">
        <f t="shared" si="111"/>
        <v>1.5498042474872611</v>
      </c>
      <c r="E291" s="338">
        <f t="shared" si="112"/>
        <v>1.0006599109588803</v>
      </c>
      <c r="F291" s="339">
        <f t="shared" si="113"/>
        <v>3.6319368415776883E-2</v>
      </c>
      <c r="G291" s="338">
        <f t="shared" si="114"/>
        <v>1</v>
      </c>
      <c r="H291" s="339">
        <f t="shared" si="115"/>
        <v>0</v>
      </c>
      <c r="I291" s="337">
        <f t="shared" si="116"/>
        <v>2561.0062500329991</v>
      </c>
      <c r="J291" s="340">
        <f t="shared" si="117"/>
        <v>1.5704058552662159</v>
      </c>
      <c r="K291" s="348">
        <f t="shared" si="133"/>
        <v>3.1600635959335426</v>
      </c>
      <c r="L291" s="349">
        <f t="shared" si="134"/>
        <v>1.2488122169253371</v>
      </c>
      <c r="M291" s="337">
        <f t="shared" si="118"/>
        <v>1.0016707298659824</v>
      </c>
      <c r="N291" s="340">
        <f t="shared" si="119"/>
        <v>5.7765163589254924E-2</v>
      </c>
      <c r="O291" s="341">
        <f t="shared" si="120"/>
        <v>0.9999135700419276</v>
      </c>
      <c r="P291" s="342">
        <f t="shared" si="121"/>
        <v>2.3882700750632056E-2</v>
      </c>
      <c r="Q291" s="343">
        <f t="shared" si="122"/>
        <v>10.254609422026277</v>
      </c>
      <c r="R291" s="344">
        <f t="shared" si="123"/>
        <v>-109.82033228127298</v>
      </c>
      <c r="S291" s="346">
        <f t="shared" si="124"/>
        <v>70.179667718727018</v>
      </c>
      <c r="U291" s="319">
        <f t="shared" si="130"/>
        <v>1000000000</v>
      </c>
      <c r="V291" s="319">
        <f t="shared" si="131"/>
        <v>371583452.25</v>
      </c>
      <c r="X291" s="345">
        <f t="shared" si="125"/>
        <v>39.518428424286377</v>
      </c>
      <c r="Y291" s="346">
        <f t="shared" si="126"/>
        <v>-21.73565829657262</v>
      </c>
      <c r="AA291" s="345">
        <f t="shared" si="127"/>
        <v>27.568931155834907</v>
      </c>
      <c r="AB291" s="346">
        <f t="shared" si="128"/>
        <v>-88.084673984700373</v>
      </c>
      <c r="AD291">
        <f t="shared" si="132"/>
        <v>0</v>
      </c>
      <c r="AE291">
        <f t="shared" si="135"/>
        <v>0</v>
      </c>
    </row>
    <row r="292" spans="1:31" x14ac:dyDescent="0.2">
      <c r="A292" s="347">
        <v>19387.25</v>
      </c>
      <c r="B292" s="364">
        <f t="shared" si="129"/>
        <v>19.387250000000002</v>
      </c>
      <c r="C292" s="337">
        <f t="shared" si="110"/>
        <v>47.914104591786206</v>
      </c>
      <c r="D292" s="338">
        <f t="shared" si="111"/>
        <v>1.5499241301774402</v>
      </c>
      <c r="E292" s="338">
        <f t="shared" si="112"/>
        <v>1.0006675130278873</v>
      </c>
      <c r="F292" s="339">
        <f t="shared" si="113"/>
        <v>3.6527850413041532E-2</v>
      </c>
      <c r="G292" s="338">
        <f t="shared" si="114"/>
        <v>1</v>
      </c>
      <c r="H292" s="339">
        <f t="shared" si="115"/>
        <v>0</v>
      </c>
      <c r="I292" s="337">
        <f t="shared" si="116"/>
        <v>2575.7200932654296</v>
      </c>
      <c r="J292" s="340">
        <f t="shared" si="117"/>
        <v>1.5704080858413332</v>
      </c>
      <c r="K292" s="348">
        <f t="shared" si="133"/>
        <v>3.1764057955050156</v>
      </c>
      <c r="L292" s="349">
        <f t="shared" si="134"/>
        <v>1.2505280191103245</v>
      </c>
      <c r="M292" s="337">
        <f t="shared" si="118"/>
        <v>1.001689966587997</v>
      </c>
      <c r="N292" s="340">
        <f t="shared" si="119"/>
        <v>5.8096299812041431E-2</v>
      </c>
      <c r="O292" s="341">
        <f t="shared" si="120"/>
        <v>0.99991257481165452</v>
      </c>
      <c r="P292" s="342">
        <f t="shared" si="121"/>
        <v>2.4019965160572167E-2</v>
      </c>
      <c r="Q292" s="343">
        <f t="shared" si="122"/>
        <v>10.19982107345075</v>
      </c>
      <c r="R292" s="344">
        <f t="shared" si="123"/>
        <v>-109.74391287305939</v>
      </c>
      <c r="S292" s="346">
        <f t="shared" si="124"/>
        <v>70.256087126940614</v>
      </c>
      <c r="U292" s="319">
        <f t="shared" si="130"/>
        <v>1000000000</v>
      </c>
      <c r="V292" s="319">
        <f t="shared" si="131"/>
        <v>375865462.5625</v>
      </c>
      <c r="X292" s="345">
        <f t="shared" si="125"/>
        <v>39.513304203096126</v>
      </c>
      <c r="Y292" s="346">
        <f t="shared" si="126"/>
        <v>-21.656450583352679</v>
      </c>
      <c r="AA292" s="345">
        <f t="shared" si="127"/>
        <v>27.519267028449626</v>
      </c>
      <c r="AB292" s="346">
        <f t="shared" si="128"/>
        <v>-88.087462289706693</v>
      </c>
      <c r="AD292">
        <f t="shared" si="132"/>
        <v>0</v>
      </c>
      <c r="AE292">
        <f t="shared" si="135"/>
        <v>0</v>
      </c>
    </row>
    <row r="293" spans="1:31" x14ac:dyDescent="0.2">
      <c r="A293" s="347">
        <v>19498</v>
      </c>
      <c r="B293" s="364">
        <f t="shared" si="129"/>
        <v>19.498000000000001</v>
      </c>
      <c r="C293" s="337">
        <f t="shared" si="110"/>
        <v>48.187695854976944</v>
      </c>
      <c r="D293" s="338">
        <f t="shared" si="111"/>
        <v>1.5500426515733967</v>
      </c>
      <c r="E293" s="338">
        <f t="shared" si="112"/>
        <v>1.0006751585899885</v>
      </c>
      <c r="F293" s="339">
        <f t="shared" si="113"/>
        <v>3.6736329233594336E-2</v>
      </c>
      <c r="G293" s="338">
        <f t="shared" si="114"/>
        <v>1</v>
      </c>
      <c r="H293" s="339">
        <f t="shared" si="115"/>
        <v>0</v>
      </c>
      <c r="I293" s="337">
        <f t="shared" si="116"/>
        <v>2590.4339365105302</v>
      </c>
      <c r="J293" s="340">
        <f t="shared" si="117"/>
        <v>1.5704102910768098</v>
      </c>
      <c r="K293" s="348">
        <f t="shared" si="133"/>
        <v>3.1927572505972384</v>
      </c>
      <c r="L293" s="349">
        <f t="shared" si="134"/>
        <v>1.2522262515604683</v>
      </c>
      <c r="M293" s="337">
        <f t="shared" si="118"/>
        <v>1.0017093131422907</v>
      </c>
      <c r="N293" s="340">
        <f t="shared" si="119"/>
        <v>5.842742328030856E-2</v>
      </c>
      <c r="O293" s="341">
        <f t="shared" si="120"/>
        <v>0.99991157389732233</v>
      </c>
      <c r="P293" s="342">
        <f t="shared" si="121"/>
        <v>2.4157230433768336E-2</v>
      </c>
      <c r="Q293" s="343">
        <f t="shared" si="122"/>
        <v>10.145393995363731</v>
      </c>
      <c r="R293" s="344">
        <f t="shared" si="123"/>
        <v>-109.66842018892542</v>
      </c>
      <c r="S293" s="346">
        <f t="shared" si="124"/>
        <v>70.331579811074576</v>
      </c>
      <c r="U293" s="319">
        <f t="shared" si="130"/>
        <v>1000000000</v>
      </c>
      <c r="V293" s="319">
        <f t="shared" si="131"/>
        <v>380172004</v>
      </c>
      <c r="X293" s="345">
        <f t="shared" si="125"/>
        <v>39.508257746309511</v>
      </c>
      <c r="Y293" s="346">
        <f t="shared" si="126"/>
        <v>-21.578247359153014</v>
      </c>
      <c r="AA293" s="345">
        <f t="shared" si="127"/>
        <v>27.469886407149225</v>
      </c>
      <c r="AB293" s="346">
        <f t="shared" si="128"/>
        <v>-88.090172829772413</v>
      </c>
      <c r="AD293">
        <f t="shared" si="132"/>
        <v>0</v>
      </c>
      <c r="AE293">
        <f t="shared" si="135"/>
        <v>0</v>
      </c>
    </row>
    <row r="294" spans="1:31" x14ac:dyDescent="0.2">
      <c r="A294" s="347">
        <v>19611.75</v>
      </c>
      <c r="B294" s="364">
        <f t="shared" si="129"/>
        <v>19.611750000000001</v>
      </c>
      <c r="C294" s="337">
        <f t="shared" si="110"/>
        <v>48.468698864784002</v>
      </c>
      <c r="D294" s="338">
        <f t="shared" si="111"/>
        <v>1.5501629905859975</v>
      </c>
      <c r="E294" s="338">
        <f t="shared" si="112"/>
        <v>1.0006830565305702</v>
      </c>
      <c r="F294" s="339">
        <f t="shared" si="113"/>
        <v>3.6950452010055299E-2</v>
      </c>
      <c r="G294" s="338">
        <f t="shared" si="114"/>
        <v>1</v>
      </c>
      <c r="H294" s="339">
        <f t="shared" si="115"/>
        <v>0</v>
      </c>
      <c r="I294" s="337">
        <f t="shared" si="116"/>
        <v>2605.5463488858436</v>
      </c>
      <c r="J294" s="340">
        <f t="shared" si="117"/>
        <v>1.5704125301201695</v>
      </c>
      <c r="K294" s="348">
        <f t="shared" si="133"/>
        <v>3.2095611208931483</v>
      </c>
      <c r="L294" s="349">
        <f t="shared" si="134"/>
        <v>1.2539524675767166</v>
      </c>
      <c r="M294" s="337">
        <f t="shared" si="118"/>
        <v>1.0017292980853472</v>
      </c>
      <c r="N294" s="340">
        <f t="shared" si="119"/>
        <v>5.8767502880110865E-2</v>
      </c>
      <c r="O294" s="341">
        <f t="shared" si="120"/>
        <v>0.99991053995340196</v>
      </c>
      <c r="P294" s="342">
        <f t="shared" si="121"/>
        <v>2.4298214857469334E-2</v>
      </c>
      <c r="Q294" s="343">
        <f t="shared" si="122"/>
        <v>10.089863600291453</v>
      </c>
      <c r="R294" s="344">
        <f t="shared" si="123"/>
        <v>-109.59183310867994</v>
      </c>
      <c r="S294" s="346">
        <f t="shared" si="124"/>
        <v>70.408166891320064</v>
      </c>
      <c r="U294" s="319">
        <f t="shared" si="130"/>
        <v>1000000000</v>
      </c>
      <c r="V294" s="319">
        <f t="shared" si="131"/>
        <v>384620738.0625</v>
      </c>
      <c r="X294" s="345">
        <f t="shared" si="125"/>
        <v>39.503153830698288</v>
      </c>
      <c r="Y294" s="346">
        <f t="shared" si="126"/>
        <v>-21.498955880305317</v>
      </c>
      <c r="AA294" s="345">
        <f t="shared" si="127"/>
        <v>27.419459927688177</v>
      </c>
      <c r="AB294" s="346">
        <f t="shared" si="128"/>
        <v>-88.092877228374618</v>
      </c>
      <c r="AD294">
        <f t="shared" si="132"/>
        <v>0</v>
      </c>
      <c r="AE294">
        <f t="shared" si="135"/>
        <v>0</v>
      </c>
    </row>
    <row r="295" spans="1:31" x14ac:dyDescent="0.2">
      <c r="A295" s="347">
        <v>19725.5</v>
      </c>
      <c r="B295" s="364">
        <f t="shared" si="129"/>
        <v>19.7255</v>
      </c>
      <c r="C295" s="337">
        <f t="shared" si="110"/>
        <v>48.749702568397673</v>
      </c>
      <c r="D295" s="338">
        <f t="shared" si="111"/>
        <v>1.550281942280733</v>
      </c>
      <c r="E295" s="338">
        <f t="shared" si="112"/>
        <v>1.0006910003503071</v>
      </c>
      <c r="F295" s="339">
        <f t="shared" si="113"/>
        <v>3.716457139677682E-2</v>
      </c>
      <c r="G295" s="338">
        <f t="shared" si="114"/>
        <v>1</v>
      </c>
      <c r="H295" s="339">
        <f t="shared" si="115"/>
        <v>0</v>
      </c>
      <c r="I295" s="337">
        <f t="shared" si="116"/>
        <v>2620.6587612740686</v>
      </c>
      <c r="J295" s="340">
        <f t="shared" si="117"/>
        <v>1.5704147433399864</v>
      </c>
      <c r="K295" s="348">
        <f t="shared" si="133"/>
        <v>3.226374455469323</v>
      </c>
      <c r="L295" s="349">
        <f t="shared" si="134"/>
        <v>1.2556606972696118</v>
      </c>
      <c r="M295" s="337">
        <f t="shared" si="118"/>
        <v>1.001749398877908</v>
      </c>
      <c r="N295" s="340">
        <f t="shared" si="119"/>
        <v>5.9107568871378482E-2</v>
      </c>
      <c r="O295" s="341">
        <f t="shared" si="120"/>
        <v>0.99990950001395473</v>
      </c>
      <c r="P295" s="342">
        <f t="shared" si="121"/>
        <v>2.4439200202369331E-2</v>
      </c>
      <c r="Q295" s="343">
        <f t="shared" si="122"/>
        <v>10.034704082036498</v>
      </c>
      <c r="R295" s="344">
        <f t="shared" si="123"/>
        <v>-109.51619506910106</v>
      </c>
      <c r="S295" s="346">
        <f t="shared" si="124"/>
        <v>70.483804930898941</v>
      </c>
      <c r="U295" s="319">
        <f t="shared" si="130"/>
        <v>1000000000</v>
      </c>
      <c r="V295" s="319">
        <f t="shared" si="131"/>
        <v>389095350.25</v>
      </c>
      <c r="X295" s="345">
        <f t="shared" si="125"/>
        <v>39.498128507446339</v>
      </c>
      <c r="Y295" s="346">
        <f t="shared" si="126"/>
        <v>-21.420692682584278</v>
      </c>
      <c r="AA295" s="345">
        <f t="shared" si="127"/>
        <v>27.369325732685166</v>
      </c>
      <c r="AB295" s="346">
        <f t="shared" si="128"/>
        <v>-88.09550238651677</v>
      </c>
      <c r="AD295">
        <f t="shared" si="132"/>
        <v>0</v>
      </c>
      <c r="AE295">
        <f t="shared" si="135"/>
        <v>0</v>
      </c>
    </row>
    <row r="296" spans="1:31" x14ac:dyDescent="0.2">
      <c r="A296" s="347">
        <v>19839.25</v>
      </c>
      <c r="B296" s="364">
        <f t="shared" si="129"/>
        <v>19.83925</v>
      </c>
      <c r="C296" s="337">
        <f t="shared" si="110"/>
        <v>49.030706953888988</v>
      </c>
      <c r="D296" s="338">
        <f t="shared" si="111"/>
        <v>1.5503995305071625</v>
      </c>
      <c r="E296" s="338">
        <f t="shared" si="112"/>
        <v>1.0006989900481063</v>
      </c>
      <c r="F296" s="339">
        <f t="shared" si="113"/>
        <v>3.737868737420634E-2</v>
      </c>
      <c r="G296" s="338">
        <f t="shared" si="114"/>
        <v>1</v>
      </c>
      <c r="H296" s="339">
        <f t="shared" si="115"/>
        <v>0</v>
      </c>
      <c r="I296" s="337">
        <f t="shared" si="116"/>
        <v>2635.7711736749825</v>
      </c>
      <c r="J296" s="340">
        <f t="shared" si="117"/>
        <v>1.570416931180445</v>
      </c>
      <c r="K296" s="348">
        <f t="shared" si="133"/>
        <v>3.24319710713202</v>
      </c>
      <c r="L296" s="349">
        <f t="shared" si="134"/>
        <v>1.2573512104797997</v>
      </c>
      <c r="M296" s="337">
        <f t="shared" si="118"/>
        <v>1.0017696155129994</v>
      </c>
      <c r="N296" s="340">
        <f t="shared" si="119"/>
        <v>5.9447621176279171E-2</v>
      </c>
      <c r="O296" s="341">
        <f t="shared" si="120"/>
        <v>0.99990845407930951</v>
      </c>
      <c r="P296" s="342">
        <f t="shared" si="121"/>
        <v>2.4580186473809558E-2</v>
      </c>
      <c r="Q296" s="343">
        <f t="shared" si="122"/>
        <v>9.9799104115324013</v>
      </c>
      <c r="R296" s="344">
        <f t="shared" si="123"/>
        <v>-109.44149199835448</v>
      </c>
      <c r="S296" s="346">
        <f t="shared" si="124"/>
        <v>70.558508001645521</v>
      </c>
      <c r="U296" s="319">
        <f t="shared" si="130"/>
        <v>1000000000</v>
      </c>
      <c r="V296" s="319">
        <f t="shared" si="131"/>
        <v>393595840.5625</v>
      </c>
      <c r="X296" s="345">
        <f t="shared" si="125"/>
        <v>39.493180099437154</v>
      </c>
      <c r="Y296" s="346">
        <f t="shared" si="126"/>
        <v>-21.343442326250155</v>
      </c>
      <c r="AA296" s="345">
        <f t="shared" si="127"/>
        <v>27.31948047019025</v>
      </c>
      <c r="AB296" s="346">
        <f t="shared" si="128"/>
        <v>-88.09804967210431</v>
      </c>
      <c r="AD296">
        <f t="shared" si="132"/>
        <v>0</v>
      </c>
      <c r="AE296">
        <f t="shared" si="135"/>
        <v>0</v>
      </c>
    </row>
    <row r="297" spans="1:31" x14ac:dyDescent="0.2">
      <c r="A297" s="347">
        <v>19953</v>
      </c>
      <c r="B297" s="364">
        <f t="shared" si="129"/>
        <v>19.952999999999999</v>
      </c>
      <c r="C297" s="337">
        <f t="shared" si="110"/>
        <v>49.311712009600846</v>
      </c>
      <c r="D297" s="338">
        <f t="shared" si="111"/>
        <v>1.5505157785713659</v>
      </c>
      <c r="E297" s="338">
        <f t="shared" si="112"/>
        <v>1.0007070256228692</v>
      </c>
      <c r="F297" s="339">
        <f t="shared" si="113"/>
        <v>3.7592799922793199E-2</v>
      </c>
      <c r="G297" s="338">
        <f t="shared" si="114"/>
        <v>1</v>
      </c>
      <c r="H297" s="339">
        <f t="shared" si="115"/>
        <v>0</v>
      </c>
      <c r="I297" s="337">
        <f t="shared" si="116"/>
        <v>2650.8835860883701</v>
      </c>
      <c r="J297" s="340">
        <f t="shared" si="117"/>
        <v>1.5704190940756007</v>
      </c>
      <c r="K297" s="348">
        <f t="shared" si="133"/>
        <v>3.2600289316450062</v>
      </c>
      <c r="L297" s="349">
        <f t="shared" si="134"/>
        <v>1.2590242718847702</v>
      </c>
      <c r="M297" s="337">
        <f t="shared" si="118"/>
        <v>1.0017899479836081</v>
      </c>
      <c r="N297" s="340">
        <f t="shared" si="119"/>
        <v>5.978765971699964E-2</v>
      </c>
      <c r="O297" s="341">
        <f t="shared" si="120"/>
        <v>0.99990740214979679</v>
      </c>
      <c r="P297" s="342">
        <f t="shared" si="121"/>
        <v>2.4721173677131215E-2</v>
      </c>
      <c r="Q297" s="343">
        <f t="shared" si="122"/>
        <v>9.9254776603711967</v>
      </c>
      <c r="R297" s="344">
        <f t="shared" si="123"/>
        <v>-109.36771008871443</v>
      </c>
      <c r="S297" s="346">
        <f t="shared" si="124"/>
        <v>70.632289911285568</v>
      </c>
      <c r="U297" s="319">
        <f t="shared" si="130"/>
        <v>1000000000</v>
      </c>
      <c r="V297" s="319">
        <f t="shared" si="131"/>
        <v>398122209</v>
      </c>
      <c r="X297" s="345">
        <f t="shared" si="125"/>
        <v>39.488306972817362</v>
      </c>
      <c r="Y297" s="346">
        <f t="shared" si="126"/>
        <v>-21.267189666811014</v>
      </c>
      <c r="AA297" s="345">
        <f t="shared" si="127"/>
        <v>27.269920845648841</v>
      </c>
      <c r="AB297" s="346">
        <f t="shared" si="128"/>
        <v>-88.100520421903411</v>
      </c>
      <c r="AD297">
        <f t="shared" si="132"/>
        <v>0</v>
      </c>
      <c r="AE297">
        <f t="shared" si="135"/>
        <v>0</v>
      </c>
    </row>
    <row r="298" spans="1:31" x14ac:dyDescent="0.2">
      <c r="A298" s="347">
        <v>20069</v>
      </c>
      <c r="B298" s="364">
        <f t="shared" si="129"/>
        <v>20.068999999999999</v>
      </c>
      <c r="C298" s="337">
        <f t="shared" si="110"/>
        <v>49.598276085502107</v>
      </c>
      <c r="D298" s="338">
        <f t="shared" si="111"/>
        <v>1.5506329694706777</v>
      </c>
      <c r="E298" s="338">
        <f t="shared" si="112"/>
        <v>1.0007152673890443</v>
      </c>
      <c r="F298" s="339">
        <f t="shared" si="113"/>
        <v>3.7811144113135089E-2</v>
      </c>
      <c r="G298" s="338">
        <f t="shared" si="114"/>
        <v>1</v>
      </c>
      <c r="H298" s="339">
        <f t="shared" si="115"/>
        <v>0</v>
      </c>
      <c r="I298" s="337">
        <f t="shared" si="116"/>
        <v>2666.2949253533288</v>
      </c>
      <c r="J298" s="340">
        <f t="shared" si="117"/>
        <v>1.5704212745026933</v>
      </c>
      <c r="K298" s="348">
        <f t="shared" si="133"/>
        <v>3.2772029936349623</v>
      </c>
      <c r="L298" s="349">
        <f t="shared" si="134"/>
        <v>1.2607127229153858</v>
      </c>
      <c r="M298" s="337">
        <f t="shared" si="118"/>
        <v>1.0018108019226983</v>
      </c>
      <c r="N298" s="340">
        <f t="shared" si="119"/>
        <v>6.0134410038882834E-2</v>
      </c>
      <c r="O298" s="341">
        <f t="shared" si="120"/>
        <v>0.99990632323932194</v>
      </c>
      <c r="P298" s="342">
        <f t="shared" si="121"/>
        <v>2.4864950603570694E-2</v>
      </c>
      <c r="Q298" s="343">
        <f t="shared" si="122"/>
        <v>9.8703349090393839</v>
      </c>
      <c r="R298" s="344">
        <f t="shared" si="123"/>
        <v>-109.29340338433586</v>
      </c>
      <c r="S298" s="346">
        <f t="shared" si="124"/>
        <v>70.706596615664139</v>
      </c>
      <c r="U298" s="319">
        <f t="shared" si="130"/>
        <v>1000000000</v>
      </c>
      <c r="V298" s="319">
        <f t="shared" si="131"/>
        <v>402764761</v>
      </c>
      <c r="X298" s="345">
        <f t="shared" si="125"/>
        <v>39.483413334377232</v>
      </c>
      <c r="Y298" s="346">
        <f t="shared" si="126"/>
        <v>-21.190440808013168</v>
      </c>
      <c r="AA298" s="345">
        <f t="shared" si="127"/>
        <v>27.219671732757163</v>
      </c>
      <c r="AB298" s="346">
        <f t="shared" si="128"/>
        <v>-88.102962576322682</v>
      </c>
      <c r="AD298">
        <f t="shared" si="132"/>
        <v>0</v>
      </c>
      <c r="AE298">
        <f t="shared" si="135"/>
        <v>0</v>
      </c>
    </row>
    <row r="299" spans="1:31" x14ac:dyDescent="0.2">
      <c r="A299" s="347">
        <v>20185</v>
      </c>
      <c r="B299" s="364">
        <f t="shared" si="129"/>
        <v>20.184999999999999</v>
      </c>
      <c r="C299" s="337">
        <f t="shared" si="110"/>
        <v>49.884840834745596</v>
      </c>
      <c r="D299" s="338">
        <f t="shared" si="111"/>
        <v>1.550748813959304</v>
      </c>
      <c r="E299" s="338">
        <f t="shared" si="112"/>
        <v>1.0007235568627175</v>
      </c>
      <c r="F299" s="339">
        <f t="shared" si="113"/>
        <v>3.8029484696586534E-2</v>
      </c>
      <c r="G299" s="338">
        <f t="shared" si="114"/>
        <v>1</v>
      </c>
      <c r="H299" s="339">
        <f t="shared" si="115"/>
        <v>0</v>
      </c>
      <c r="I299" s="337">
        <f t="shared" si="116"/>
        <v>2681.7062646308182</v>
      </c>
      <c r="J299" s="340">
        <f t="shared" si="117"/>
        <v>1.5704234298686506</v>
      </c>
      <c r="K299" s="348">
        <f t="shared" si="133"/>
        <v>3.294386301067783</v>
      </c>
      <c r="L299" s="349">
        <f t="shared" si="134"/>
        <v>1.2623835649636972</v>
      </c>
      <c r="M299" s="337">
        <f t="shared" si="118"/>
        <v>1.0018317763102746</v>
      </c>
      <c r="N299" s="340">
        <f t="shared" si="119"/>
        <v>6.0481145883299191E-2</v>
      </c>
      <c r="O299" s="341">
        <f t="shared" si="120"/>
        <v>0.99990523809517506</v>
      </c>
      <c r="P299" s="342">
        <f t="shared" si="121"/>
        <v>2.5008728510340798E-2</v>
      </c>
      <c r="Q299" s="343">
        <f t="shared" si="122"/>
        <v>9.8155574529387692</v>
      </c>
      <c r="R299" s="344">
        <f t="shared" si="123"/>
        <v>-109.22002645410947</v>
      </c>
      <c r="S299" s="346">
        <f t="shared" si="124"/>
        <v>70.779973545890527</v>
      </c>
      <c r="U299" s="319">
        <f t="shared" si="130"/>
        <v>1000000000</v>
      </c>
      <c r="V299" s="319">
        <f t="shared" si="131"/>
        <v>407434225</v>
      </c>
      <c r="X299" s="345">
        <f t="shared" si="125"/>
        <v>39.478594684900692</v>
      </c>
      <c r="Y299" s="346">
        <f t="shared" si="126"/>
        <v>-21.114698604189012</v>
      </c>
      <c r="AA299" s="345">
        <f t="shared" si="127"/>
        <v>27.169712926133084</v>
      </c>
      <c r="AB299" s="346">
        <f t="shared" si="128"/>
        <v>-88.105327849920471</v>
      </c>
      <c r="AD299">
        <f t="shared" si="132"/>
        <v>0</v>
      </c>
      <c r="AE299">
        <f t="shared" si="135"/>
        <v>0</v>
      </c>
    </row>
    <row r="300" spans="1:31" x14ac:dyDescent="0.2">
      <c r="A300" s="347">
        <v>20301</v>
      </c>
      <c r="B300" s="364">
        <f t="shared" si="129"/>
        <v>20.300999999999998</v>
      </c>
      <c r="C300" s="337">
        <f t="shared" si="110"/>
        <v>50.171406245793492</v>
      </c>
      <c r="D300" s="338">
        <f t="shared" si="111"/>
        <v>1.5508633351051022</v>
      </c>
      <c r="E300" s="338">
        <f t="shared" si="112"/>
        <v>1.0007318940427035</v>
      </c>
      <c r="F300" s="339">
        <f t="shared" si="113"/>
        <v>3.8247821652419696E-2</v>
      </c>
      <c r="G300" s="338">
        <f t="shared" si="114"/>
        <v>1</v>
      </c>
      <c r="H300" s="339">
        <f t="shared" si="115"/>
        <v>0</v>
      </c>
      <c r="I300" s="337">
        <f t="shared" si="116"/>
        <v>2697.1176039206234</v>
      </c>
      <c r="J300" s="340">
        <f t="shared" si="117"/>
        <v>1.570425560603071</v>
      </c>
      <c r="K300" s="348">
        <f t="shared" si="133"/>
        <v>3.3115787100236371</v>
      </c>
      <c r="L300" s="349">
        <f t="shared" si="134"/>
        <v>1.2640370628840165</v>
      </c>
      <c r="M300" s="337">
        <f t="shared" si="118"/>
        <v>1.0018528711387715</v>
      </c>
      <c r="N300" s="340">
        <f t="shared" si="119"/>
        <v>6.0827867167787479E-2</v>
      </c>
      <c r="O300" s="341">
        <f t="shared" si="120"/>
        <v>0.99990414671771277</v>
      </c>
      <c r="P300" s="342">
        <f t="shared" si="121"/>
        <v>2.515250740310589E-2</v>
      </c>
      <c r="Q300" s="343">
        <f t="shared" si="122"/>
        <v>9.7611403722251726</v>
      </c>
      <c r="R300" s="344">
        <f t="shared" si="123"/>
        <v>-109.1475654660936</v>
      </c>
      <c r="S300" s="346">
        <f t="shared" si="124"/>
        <v>70.852434533906404</v>
      </c>
      <c r="U300" s="319">
        <f t="shared" si="130"/>
        <v>1000000000</v>
      </c>
      <c r="V300" s="319">
        <f t="shared" si="131"/>
        <v>412130601</v>
      </c>
      <c r="X300" s="345">
        <f t="shared" si="125"/>
        <v>39.473849422356999</v>
      </c>
      <c r="Y300" s="346">
        <f t="shared" si="126"/>
        <v>-21.039947900193731</v>
      </c>
      <c r="AA300" s="345">
        <f t="shared" si="127"/>
        <v>27.120041107963178</v>
      </c>
      <c r="AB300" s="346">
        <f t="shared" si="128"/>
        <v>-88.107617565899844</v>
      </c>
      <c r="AD300">
        <f t="shared" si="132"/>
        <v>0</v>
      </c>
      <c r="AE300">
        <f t="shared" si="135"/>
        <v>0</v>
      </c>
    </row>
    <row r="301" spans="1:31" x14ac:dyDescent="0.2">
      <c r="A301" s="347">
        <v>20417</v>
      </c>
      <c r="B301" s="364">
        <f t="shared" si="129"/>
        <v>20.417000000000002</v>
      </c>
      <c r="C301" s="337">
        <f t="shared" si="110"/>
        <v>50.457972307370063</v>
      </c>
      <c r="D301" s="338">
        <f t="shared" si="111"/>
        <v>1.5509765554520332</v>
      </c>
      <c r="E301" s="338">
        <f t="shared" si="112"/>
        <v>1.0007402789278095</v>
      </c>
      <c r="F301" s="339">
        <f t="shared" si="113"/>
        <v>3.8466154959908794E-2</v>
      </c>
      <c r="G301" s="338">
        <f t="shared" si="114"/>
        <v>1</v>
      </c>
      <c r="H301" s="339">
        <f t="shared" si="115"/>
        <v>0</v>
      </c>
      <c r="I301" s="337">
        <f t="shared" si="116"/>
        <v>2712.5289432225345</v>
      </c>
      <c r="J301" s="340">
        <f t="shared" si="117"/>
        <v>1.5704276671257895</v>
      </c>
      <c r="K301" s="348">
        <f t="shared" si="133"/>
        <v>3.3287800794804987</v>
      </c>
      <c r="L301" s="349">
        <f t="shared" si="134"/>
        <v>1.2656734764398698</v>
      </c>
      <c r="M301" s="337">
        <f t="shared" si="118"/>
        <v>1.0018740864005815</v>
      </c>
      <c r="N301" s="340">
        <f t="shared" si="119"/>
        <v>6.1174573809907387E-2</v>
      </c>
      <c r="O301" s="341">
        <f t="shared" si="120"/>
        <v>0.99990304910729377</v>
      </c>
      <c r="P301" s="342">
        <f t="shared" si="121"/>
        <v>2.5296287287530302E-2</v>
      </c>
      <c r="Q301" s="343">
        <f t="shared" si="122"/>
        <v>9.7070788450298338</v>
      </c>
      <c r="R301" s="344">
        <f t="shared" si="123"/>
        <v>-109.07600684945157</v>
      </c>
      <c r="S301" s="346">
        <f t="shared" si="124"/>
        <v>70.923993150548426</v>
      </c>
      <c r="U301" s="319">
        <f t="shared" si="130"/>
        <v>1000000000</v>
      </c>
      <c r="V301" s="319">
        <f t="shared" si="131"/>
        <v>416853889</v>
      </c>
      <c r="X301" s="345">
        <f t="shared" si="125"/>
        <v>39.469175986069239</v>
      </c>
      <c r="Y301" s="346">
        <f t="shared" si="126"/>
        <v>-20.966173832004884</v>
      </c>
      <c r="AA301" s="345">
        <f t="shared" si="127"/>
        <v>27.070653017055601</v>
      </c>
      <c r="AB301" s="346">
        <f t="shared" si="128"/>
        <v>-88.109833017446675</v>
      </c>
      <c r="AD301">
        <f t="shared" si="132"/>
        <v>0</v>
      </c>
      <c r="AE301">
        <f t="shared" si="135"/>
        <v>0</v>
      </c>
    </row>
    <row r="302" spans="1:31" x14ac:dyDescent="0.2">
      <c r="A302" s="347">
        <v>20536</v>
      </c>
      <c r="B302" s="364">
        <f t="shared" si="129"/>
        <v>20.536000000000001</v>
      </c>
      <c r="C302" s="337">
        <f t="shared" si="110"/>
        <v>50.751950224627222</v>
      </c>
      <c r="D302" s="338">
        <f t="shared" si="111"/>
        <v>1.5510913753065119</v>
      </c>
      <c r="E302" s="338">
        <f t="shared" si="112"/>
        <v>1.0007489302338393</v>
      </c>
      <c r="F302" s="339">
        <f t="shared" si="113"/>
        <v>3.8690131005638742E-2</v>
      </c>
      <c r="G302" s="338">
        <f t="shared" si="114"/>
        <v>1</v>
      </c>
      <c r="H302" s="339">
        <f t="shared" si="115"/>
        <v>0</v>
      </c>
      <c r="I302" s="337">
        <f t="shared" si="116"/>
        <v>2728.338851656687</v>
      </c>
      <c r="J302" s="340">
        <f t="shared" si="117"/>
        <v>1.5704298033985147</v>
      </c>
      <c r="K302" s="348">
        <f t="shared" si="133"/>
        <v>3.3464354782225567</v>
      </c>
      <c r="L302" s="349">
        <f t="shared" si="134"/>
        <v>1.2673347252104659</v>
      </c>
      <c r="M302" s="337">
        <f t="shared" si="118"/>
        <v>1.0018959754705077</v>
      </c>
      <c r="N302" s="340">
        <f t="shared" si="119"/>
        <v>6.1530231701446267E-2</v>
      </c>
      <c r="O302" s="341">
        <f t="shared" si="120"/>
        <v>0.99990191663394012</v>
      </c>
      <c r="P302" s="342">
        <f t="shared" si="121"/>
        <v>2.5443786653638698E-2</v>
      </c>
      <c r="Q302" s="343">
        <f t="shared" si="122"/>
        <v>9.6519836872692242</v>
      </c>
      <c r="R302" s="344">
        <f t="shared" si="123"/>
        <v>-109.00352130373147</v>
      </c>
      <c r="S302" s="346">
        <f t="shared" si="124"/>
        <v>70.996478696268525</v>
      </c>
      <c r="U302" s="319">
        <f t="shared" si="130"/>
        <v>1000000000</v>
      </c>
      <c r="V302" s="319">
        <f t="shared" si="131"/>
        <v>421727296</v>
      </c>
      <c r="X302" s="345">
        <f t="shared" si="125"/>
        <v>39.464454728258644</v>
      </c>
      <c r="Y302" s="346">
        <f t="shared" si="126"/>
        <v>-20.891491384189838</v>
      </c>
      <c r="AA302" s="345">
        <f t="shared" si="127"/>
        <v>27.020279117105588</v>
      </c>
      <c r="AB302" s="346">
        <f t="shared" si="128"/>
        <v>-88.112029919541641</v>
      </c>
      <c r="AD302">
        <f t="shared" si="132"/>
        <v>0</v>
      </c>
      <c r="AE302">
        <f t="shared" si="135"/>
        <v>0</v>
      </c>
    </row>
    <row r="303" spans="1:31" x14ac:dyDescent="0.2">
      <c r="A303" s="347">
        <v>20655</v>
      </c>
      <c r="B303" s="364">
        <f t="shared" si="129"/>
        <v>20.655000000000001</v>
      </c>
      <c r="C303" s="337">
        <f t="shared" si="110"/>
        <v>51.045928803271011</v>
      </c>
      <c r="D303" s="338">
        <f t="shared" si="111"/>
        <v>1.5512048726445595</v>
      </c>
      <c r="E303" s="338">
        <f t="shared" si="112"/>
        <v>1.0007576317418387</v>
      </c>
      <c r="F303" s="339">
        <f t="shared" si="113"/>
        <v>3.8914103167696355E-2</v>
      </c>
      <c r="G303" s="338">
        <f t="shared" si="114"/>
        <v>1</v>
      </c>
      <c r="H303" s="339">
        <f t="shared" si="115"/>
        <v>0</v>
      </c>
      <c r="I303" s="337">
        <f t="shared" si="116"/>
        <v>2744.1487601031467</v>
      </c>
      <c r="J303" s="340">
        <f t="shared" si="117"/>
        <v>1.5704319150557549</v>
      </c>
      <c r="K303" s="348">
        <f t="shared" si="133"/>
        <v>3.3641000153295177</v>
      </c>
      <c r="L303" s="349">
        <f t="shared" si="134"/>
        <v>1.2689785323910772</v>
      </c>
      <c r="M303" s="337">
        <f t="shared" si="118"/>
        <v>1.0019179912672493</v>
      </c>
      <c r="N303" s="340">
        <f t="shared" si="119"/>
        <v>6.1885874007764484E-2</v>
      </c>
      <c r="O303" s="341">
        <f t="shared" si="120"/>
        <v>0.99990077760183815</v>
      </c>
      <c r="P303" s="342">
        <f t="shared" si="121"/>
        <v>2.5591287075438639E-2</v>
      </c>
      <c r="Q303" s="343">
        <f t="shared" si="122"/>
        <v>9.5972527368530951</v>
      </c>
      <c r="R303" s="344">
        <f t="shared" si="123"/>
        <v>-108.93195729257066</v>
      </c>
      <c r="S303" s="346">
        <f t="shared" si="124"/>
        <v>71.068042707429342</v>
      </c>
      <c r="U303" s="319">
        <f t="shared" si="130"/>
        <v>1000000000</v>
      </c>
      <c r="V303" s="319">
        <f t="shared" si="131"/>
        <v>426629025</v>
      </c>
      <c r="X303" s="345">
        <f t="shared" si="125"/>
        <v>39.459805860706389</v>
      </c>
      <c r="Y303" s="346">
        <f t="shared" si="126"/>
        <v>-20.817805962539286</v>
      </c>
      <c r="AA303" s="345">
        <f t="shared" si="127"/>
        <v>26.970197034241714</v>
      </c>
      <c r="AB303" s="346">
        <f t="shared" si="128"/>
        <v>-88.114151330031376</v>
      </c>
      <c r="AD303">
        <f t="shared" si="132"/>
        <v>0</v>
      </c>
      <c r="AE303">
        <f t="shared" si="135"/>
        <v>0</v>
      </c>
    </row>
    <row r="304" spans="1:31" x14ac:dyDescent="0.2">
      <c r="A304" s="347">
        <v>20774</v>
      </c>
      <c r="B304" s="364">
        <f t="shared" si="129"/>
        <v>20.774000000000001</v>
      </c>
      <c r="C304" s="337">
        <f t="shared" si="110"/>
        <v>51.339908031939871</v>
      </c>
      <c r="D304" s="338">
        <f t="shared" si="111"/>
        <v>1.5513170701819479</v>
      </c>
      <c r="E304" s="338">
        <f t="shared" si="112"/>
        <v>1.0007663834504987</v>
      </c>
      <c r="F304" s="339">
        <f t="shared" si="113"/>
        <v>3.9138071423712742E-2</v>
      </c>
      <c r="G304" s="338">
        <f t="shared" si="114"/>
        <v>1</v>
      </c>
      <c r="H304" s="339">
        <f t="shared" si="115"/>
        <v>0</v>
      </c>
      <c r="I304" s="337">
        <f t="shared" si="116"/>
        <v>2759.9586685617032</v>
      </c>
      <c r="J304" s="340">
        <f t="shared" si="117"/>
        <v>1.5704340025205259</v>
      </c>
      <c r="K304" s="348">
        <f t="shared" si="133"/>
        <v>3.3817735475999102</v>
      </c>
      <c r="L304" s="349">
        <f t="shared" si="134"/>
        <v>1.2706051624831347</v>
      </c>
      <c r="M304" s="337">
        <f t="shared" si="118"/>
        <v>1.0019401337824532</v>
      </c>
      <c r="N304" s="340">
        <f t="shared" si="119"/>
        <v>6.2241500639928102E-2</v>
      </c>
      <c r="O304" s="341">
        <f t="shared" si="120"/>
        <v>0.9998996320113821</v>
      </c>
      <c r="P304" s="342">
        <f t="shared" si="121"/>
        <v>2.5738788559045281E-2</v>
      </c>
      <c r="Q304" s="343">
        <f t="shared" si="122"/>
        <v>9.542881093011486</v>
      </c>
      <c r="R304" s="344">
        <f t="shared" si="123"/>
        <v>-108.86130098344478</v>
      </c>
      <c r="S304" s="346">
        <f t="shared" si="124"/>
        <v>71.138699016555222</v>
      </c>
      <c r="U304" s="319">
        <f t="shared" si="130"/>
        <v>1000000000</v>
      </c>
      <c r="V304" s="319">
        <f t="shared" si="131"/>
        <v>431559076</v>
      </c>
      <c r="X304" s="345">
        <f t="shared" si="125"/>
        <v>39.455227826030765</v>
      </c>
      <c r="Y304" s="346">
        <f t="shared" si="126"/>
        <v>-20.745102431379024</v>
      </c>
      <c r="AA304" s="345">
        <f t="shared" si="127"/>
        <v>26.92040342507573</v>
      </c>
      <c r="AB304" s="346">
        <f t="shared" si="128"/>
        <v>-88.116198552065754</v>
      </c>
      <c r="AD304">
        <f t="shared" si="132"/>
        <v>0</v>
      </c>
      <c r="AE304">
        <f t="shared" si="135"/>
        <v>0</v>
      </c>
    </row>
    <row r="305" spans="1:31" x14ac:dyDescent="0.2">
      <c r="A305" s="347">
        <v>20893</v>
      </c>
      <c r="B305" s="364">
        <f t="shared" si="129"/>
        <v>20.893000000000001</v>
      </c>
      <c r="C305" s="337">
        <f t="shared" si="110"/>
        <v>51.633887899530997</v>
      </c>
      <c r="D305" s="338">
        <f t="shared" si="111"/>
        <v>1.5514279901172492</v>
      </c>
      <c r="E305" s="338">
        <f t="shared" si="112"/>
        <v>1.0007751853585023</v>
      </c>
      <c r="F305" s="339">
        <f t="shared" si="113"/>
        <v>3.9362035751321411E-2</v>
      </c>
      <c r="G305" s="338">
        <f t="shared" si="114"/>
        <v>1</v>
      </c>
      <c r="H305" s="339">
        <f t="shared" si="115"/>
        <v>0</v>
      </c>
      <c r="I305" s="337">
        <f t="shared" si="116"/>
        <v>2775.7685770321496</v>
      </c>
      <c r="J305" s="340">
        <f t="shared" si="117"/>
        <v>1.5704360662062058</v>
      </c>
      <c r="K305" s="348">
        <f t="shared" si="133"/>
        <v>3.3994559347380728</v>
      </c>
      <c r="L305" s="349">
        <f t="shared" si="134"/>
        <v>1.272214874852627</v>
      </c>
      <c r="M305" s="337">
        <f t="shared" si="118"/>
        <v>1.0019624030077177</v>
      </c>
      <c r="N305" s="340">
        <f t="shared" si="119"/>
        <v>6.2597111509026859E-2</v>
      </c>
      <c r="O305" s="341">
        <f t="shared" si="120"/>
        <v>0.99989847986296843</v>
      </c>
      <c r="P305" s="342">
        <f t="shared" si="121"/>
        <v>2.5886291110573716E-2</v>
      </c>
      <c r="Q305" s="343">
        <f t="shared" si="122"/>
        <v>9.4888639526381304</v>
      </c>
      <c r="R305" s="344">
        <f t="shared" si="123"/>
        <v>-108.79153880788434</v>
      </c>
      <c r="S305" s="346">
        <f t="shared" si="124"/>
        <v>71.208461192115664</v>
      </c>
      <c r="U305" s="319">
        <f t="shared" si="130"/>
        <v>1000000000</v>
      </c>
      <c r="V305" s="319">
        <f t="shared" si="131"/>
        <v>436517449</v>
      </c>
      <c r="X305" s="345">
        <f t="shared" si="125"/>
        <v>39.450719107309162</v>
      </c>
      <c r="Y305" s="346">
        <f t="shared" si="126"/>
        <v>-20.67336594872318</v>
      </c>
      <c r="AA305" s="345">
        <f t="shared" si="127"/>
        <v>26.870895003423975</v>
      </c>
      <c r="AB305" s="346">
        <f t="shared" si="128"/>
        <v>-88.118172859161177</v>
      </c>
      <c r="AD305">
        <f t="shared" si="132"/>
        <v>0</v>
      </c>
      <c r="AE305">
        <f t="shared" si="135"/>
        <v>0</v>
      </c>
    </row>
    <row r="306" spans="1:31" x14ac:dyDescent="0.2">
      <c r="A306" s="347">
        <v>21014.75</v>
      </c>
      <c r="B306" s="364">
        <f t="shared" si="129"/>
        <v>21.014749999999999</v>
      </c>
      <c r="C306" s="337">
        <f t="shared" si="110"/>
        <v>51.934662069449331</v>
      </c>
      <c r="D306" s="338">
        <f t="shared" si="111"/>
        <v>1.5515401737223797</v>
      </c>
      <c r="E306" s="338">
        <f t="shared" si="112"/>
        <v>1.0007842426234121</v>
      </c>
      <c r="F306" s="339">
        <f t="shared" si="113"/>
        <v>3.9591171636202203E-2</v>
      </c>
      <c r="G306" s="338">
        <f t="shared" si="114"/>
        <v>1</v>
      </c>
      <c r="H306" s="339">
        <f t="shared" si="115"/>
        <v>0</v>
      </c>
      <c r="I306" s="337">
        <f t="shared" si="116"/>
        <v>2791.943840542368</v>
      </c>
      <c r="J306" s="340">
        <f t="shared" si="117"/>
        <v>1.5704381533936769</v>
      </c>
      <c r="K306" s="348">
        <f t="shared" si="133"/>
        <v>3.4175559693037889</v>
      </c>
      <c r="L306" s="349">
        <f t="shared" si="134"/>
        <v>1.2738445430163061</v>
      </c>
      <c r="M306" s="337">
        <f t="shared" si="118"/>
        <v>1.0019853179852798</v>
      </c>
      <c r="N306" s="340">
        <f t="shared" si="119"/>
        <v>6.2960923869978619E-2</v>
      </c>
      <c r="O306" s="341">
        <f t="shared" si="120"/>
        <v>0.99989729430265917</v>
      </c>
      <c r="P306" s="342">
        <f t="shared" si="121"/>
        <v>2.6037203446114102E-2</v>
      </c>
      <c r="Q306" s="343">
        <f t="shared" si="122"/>
        <v>9.4339604941902717</v>
      </c>
      <c r="R306" s="344">
        <f t="shared" si="123"/>
        <v>-108.72107596773736</v>
      </c>
      <c r="S306" s="346">
        <f t="shared" si="124"/>
        <v>71.278924032262637</v>
      </c>
      <c r="U306" s="319">
        <f t="shared" si="130"/>
        <v>1000000000</v>
      </c>
      <c r="V306" s="319">
        <f t="shared" si="131"/>
        <v>441619717.5625</v>
      </c>
      <c r="X306" s="345">
        <f t="shared" si="125"/>
        <v>39.446176391861989</v>
      </c>
      <c r="Y306" s="346">
        <f t="shared" si="126"/>
        <v>-20.600957340705161</v>
      </c>
      <c r="AA306" s="345">
        <f t="shared" si="127"/>
        <v>26.820534260423287</v>
      </c>
      <c r="AB306" s="346">
        <f t="shared" si="128"/>
        <v>-88.120118627032198</v>
      </c>
      <c r="AD306">
        <f t="shared" si="132"/>
        <v>0</v>
      </c>
      <c r="AE306">
        <f t="shared" si="135"/>
        <v>0</v>
      </c>
    </row>
    <row r="307" spans="1:31" x14ac:dyDescent="0.2">
      <c r="A307" s="347">
        <v>21136.5</v>
      </c>
      <c r="B307" s="364">
        <f t="shared" si="129"/>
        <v>21.136500000000002</v>
      </c>
      <c r="C307" s="337">
        <f t="shared" si="110"/>
        <v>52.235436885446767</v>
      </c>
      <c r="D307" s="338">
        <f t="shared" si="111"/>
        <v>1.5516510654088778</v>
      </c>
      <c r="E307" s="338">
        <f t="shared" si="112"/>
        <v>1.0007933524317985</v>
      </c>
      <c r="F307" s="339">
        <f t="shared" si="113"/>
        <v>3.9820303361654395E-2</v>
      </c>
      <c r="G307" s="338">
        <f t="shared" si="114"/>
        <v>1</v>
      </c>
      <c r="H307" s="339">
        <f t="shared" si="115"/>
        <v>0</v>
      </c>
      <c r="I307" s="337">
        <f t="shared" si="116"/>
        <v>2808.1191040646086</v>
      </c>
      <c r="J307" s="340">
        <f t="shared" si="117"/>
        <v>1.570440216536009</v>
      </c>
      <c r="K307" s="348">
        <f t="shared" si="133"/>
        <v>3.435664984629236</v>
      </c>
      <c r="L307" s="349">
        <f t="shared" si="134"/>
        <v>1.2754570358187305</v>
      </c>
      <c r="M307" s="337">
        <f t="shared" si="118"/>
        <v>1.0020083655789755</v>
      </c>
      <c r="N307" s="340">
        <f t="shared" si="119"/>
        <v>6.3324719542694169E-2</v>
      </c>
      <c r="O307" s="341">
        <f t="shared" si="120"/>
        <v>0.99989610187863776</v>
      </c>
      <c r="P307" s="342">
        <f t="shared" si="121"/>
        <v>2.6188116912454134E-2</v>
      </c>
      <c r="Q307" s="343">
        <f t="shared" si="122"/>
        <v>9.3794182438317311</v>
      </c>
      <c r="R307" s="344">
        <f t="shared" si="123"/>
        <v>-108.65152115107507</v>
      </c>
      <c r="S307" s="346">
        <f t="shared" si="124"/>
        <v>71.348478848924927</v>
      </c>
      <c r="U307" s="319">
        <f t="shared" si="130"/>
        <v>1000000000</v>
      </c>
      <c r="V307" s="319">
        <f t="shared" si="131"/>
        <v>446751632.25</v>
      </c>
      <c r="X307" s="345">
        <f t="shared" si="125"/>
        <v>39.441703145085143</v>
      </c>
      <c r="Y307" s="346">
        <f t="shared" si="126"/>
        <v>-20.529530474549297</v>
      </c>
      <c r="AA307" s="345">
        <f t="shared" si="127"/>
        <v>26.77046525684159</v>
      </c>
      <c r="AB307" s="346">
        <f t="shared" si="128"/>
        <v>-88.121990676525769</v>
      </c>
      <c r="AD307">
        <f t="shared" si="132"/>
        <v>0</v>
      </c>
      <c r="AE307">
        <f t="shared" si="135"/>
        <v>0</v>
      </c>
    </row>
    <row r="308" spans="1:31" x14ac:dyDescent="0.2">
      <c r="A308" s="347">
        <v>21258.25</v>
      </c>
      <c r="B308" s="364">
        <f t="shared" si="129"/>
        <v>21.25825</v>
      </c>
      <c r="C308" s="337">
        <f t="shared" si="110"/>
        <v>52.536212336426708</v>
      </c>
      <c r="D308" s="338">
        <f t="shared" si="111"/>
        <v>1.5517606873631109</v>
      </c>
      <c r="E308" s="338">
        <f t="shared" si="112"/>
        <v>1.0008025147822261</v>
      </c>
      <c r="F308" s="339">
        <f t="shared" si="113"/>
        <v>4.0049430903732468E-2</v>
      </c>
      <c r="G308" s="338">
        <f t="shared" si="114"/>
        <v>1</v>
      </c>
      <c r="H308" s="339">
        <f t="shared" si="115"/>
        <v>0</v>
      </c>
      <c r="I308" s="337">
        <f t="shared" si="116"/>
        <v>2824.2943675986658</v>
      </c>
      <c r="J308" s="340">
        <f t="shared" si="117"/>
        <v>1.5704422560463349</v>
      </c>
      <c r="K308" s="348">
        <f t="shared" si="133"/>
        <v>3.4537828394495582</v>
      </c>
      <c r="L308" s="349">
        <f t="shared" si="134"/>
        <v>1.2770526151034511</v>
      </c>
      <c r="M308" s="337">
        <f t="shared" si="118"/>
        <v>1.0020315457796538</v>
      </c>
      <c r="N308" s="340">
        <f t="shared" si="119"/>
        <v>6.3688498432033613E-2</v>
      </c>
      <c r="O308" s="341">
        <f t="shared" si="120"/>
        <v>0.9998949025913364</v>
      </c>
      <c r="P308" s="342">
        <f t="shared" si="121"/>
        <v>2.6339031516142596E-2</v>
      </c>
      <c r="Q308" s="343">
        <f t="shared" si="122"/>
        <v>9.3252323588407844</v>
      </c>
      <c r="R308" s="344">
        <f t="shared" si="123"/>
        <v>-108.58286064651919</v>
      </c>
      <c r="S308" s="346">
        <f t="shared" si="124"/>
        <v>71.417139353480806</v>
      </c>
      <c r="U308" s="319">
        <f t="shared" si="130"/>
        <v>1000000000</v>
      </c>
      <c r="V308" s="319">
        <f t="shared" si="131"/>
        <v>451913193.0625</v>
      </c>
      <c r="X308" s="345">
        <f t="shared" si="125"/>
        <v>39.437297866008237</v>
      </c>
      <c r="Y308" s="346">
        <f t="shared" si="126"/>
        <v>-20.459070365944839</v>
      </c>
      <c r="AA308" s="345">
        <f t="shared" si="127"/>
        <v>26.720684650927552</v>
      </c>
      <c r="AB308" s="346">
        <f t="shared" si="128"/>
        <v>-88.12379028057434</v>
      </c>
      <c r="AD308">
        <f t="shared" si="132"/>
        <v>0</v>
      </c>
      <c r="AE308">
        <f t="shared" si="135"/>
        <v>0</v>
      </c>
    </row>
    <row r="309" spans="1:31" x14ac:dyDescent="0.2">
      <c r="A309" s="347">
        <v>21380</v>
      </c>
      <c r="B309" s="364">
        <f t="shared" si="129"/>
        <v>21.38</v>
      </c>
      <c r="C309" s="337">
        <f t="shared" si="110"/>
        <v>52.836988411545207</v>
      </c>
      <c r="D309" s="338">
        <f t="shared" si="111"/>
        <v>1.5518690612663839</v>
      </c>
      <c r="E309" s="338">
        <f t="shared" si="112"/>
        <v>1.0008117296732524</v>
      </c>
      <c r="F309" s="339">
        <f t="shared" si="113"/>
        <v>4.027855423849349E-2</v>
      </c>
      <c r="G309" s="338">
        <f t="shared" si="114"/>
        <v>1</v>
      </c>
      <c r="H309" s="339">
        <f t="shared" si="115"/>
        <v>0</v>
      </c>
      <c r="I309" s="337">
        <f t="shared" si="116"/>
        <v>2840.4696311443367</v>
      </c>
      <c r="J309" s="340">
        <f t="shared" si="117"/>
        <v>1.5704442723283771</v>
      </c>
      <c r="K309" s="348">
        <f t="shared" si="133"/>
        <v>3.4719093953803704</v>
      </c>
      <c r="L309" s="349">
        <f t="shared" si="134"/>
        <v>1.2786315375942563</v>
      </c>
      <c r="M309" s="337">
        <f t="shared" si="118"/>
        <v>1.0020548585781119</v>
      </c>
      <c r="N309" s="340">
        <f t="shared" si="119"/>
        <v>6.4052260442883632E-2</v>
      </c>
      <c r="O309" s="341">
        <f t="shared" si="120"/>
        <v>0.99989369644118919</v>
      </c>
      <c r="P309" s="342">
        <f t="shared" si="121"/>
        <v>2.6489947263728254E-2</v>
      </c>
      <c r="Q309" s="343">
        <f t="shared" si="122"/>
        <v>9.2713980927979485</v>
      </c>
      <c r="R309" s="344">
        <f t="shared" si="123"/>
        <v>-108.51508100655634</v>
      </c>
      <c r="S309" s="346">
        <f t="shared" si="124"/>
        <v>71.484918993443657</v>
      </c>
      <c r="U309" s="319">
        <f t="shared" si="130"/>
        <v>1000000000</v>
      </c>
      <c r="V309" s="319">
        <f t="shared" si="131"/>
        <v>457104400</v>
      </c>
      <c r="X309" s="345">
        <f t="shared" si="125"/>
        <v>39.432959092793844</v>
      </c>
      <c r="Y309" s="346">
        <f t="shared" si="126"/>
        <v>-20.389562323384226</v>
      </c>
      <c r="AA309" s="345">
        <f t="shared" si="127"/>
        <v>26.671189158099111</v>
      </c>
      <c r="AB309" s="346">
        <f t="shared" si="128"/>
        <v>-88.12551868317216</v>
      </c>
      <c r="AD309">
        <f t="shared" si="132"/>
        <v>0</v>
      </c>
      <c r="AE309">
        <f t="shared" si="135"/>
        <v>0</v>
      </c>
    </row>
    <row r="310" spans="1:31" x14ac:dyDescent="0.2">
      <c r="A310" s="347">
        <v>21504.5</v>
      </c>
      <c r="B310" s="364">
        <f t="shared" si="129"/>
        <v>21.5045</v>
      </c>
      <c r="C310" s="337">
        <f t="shared" si="110"/>
        <v>53.144558831182131</v>
      </c>
      <c r="D310" s="338">
        <f t="shared" si="111"/>
        <v>1.5519786144618004</v>
      </c>
      <c r="E310" s="338">
        <f t="shared" si="112"/>
        <v>1.0008212070361131</v>
      </c>
      <c r="F310" s="339">
        <f t="shared" si="113"/>
        <v>4.0512848467767676E-2</v>
      </c>
      <c r="G310" s="338">
        <f t="shared" si="114"/>
        <v>1</v>
      </c>
      <c r="H310" s="339">
        <f t="shared" si="115"/>
        <v>0</v>
      </c>
      <c r="I310" s="337">
        <f t="shared" si="116"/>
        <v>2857.0102497305656</v>
      </c>
      <c r="J310" s="340">
        <f t="shared" si="117"/>
        <v>1.5704463105425879</v>
      </c>
      <c r="K310" s="348">
        <f t="shared" si="133"/>
        <v>3.4904542375948853</v>
      </c>
      <c r="L310" s="349">
        <f t="shared" si="134"/>
        <v>1.2802291604896958</v>
      </c>
      <c r="M310" s="337">
        <f t="shared" si="118"/>
        <v>1.0020788350635144</v>
      </c>
      <c r="N310" s="340">
        <f t="shared" si="119"/>
        <v>6.442422129039628E-2</v>
      </c>
      <c r="O310" s="341">
        <f t="shared" si="120"/>
        <v>0.99989245595074372</v>
      </c>
      <c r="P310" s="342">
        <f t="shared" si="121"/>
        <v>2.6644272975668543E-2</v>
      </c>
      <c r="Q310" s="343">
        <f t="shared" si="122"/>
        <v>9.2167066323965621</v>
      </c>
      <c r="R310" s="344">
        <f t="shared" si="123"/>
        <v>-108.44666760228704</v>
      </c>
      <c r="S310" s="346">
        <f t="shared" si="124"/>
        <v>71.553332397712964</v>
      </c>
      <c r="U310" s="319">
        <f t="shared" si="130"/>
        <v>1000000000</v>
      </c>
      <c r="V310" s="319">
        <f t="shared" si="131"/>
        <v>462443520.25</v>
      </c>
      <c r="X310" s="345">
        <f t="shared" si="125"/>
        <v>39.428589611267213</v>
      </c>
      <c r="Y310" s="346">
        <f t="shared" si="126"/>
        <v>-20.319453841920559</v>
      </c>
      <c r="AA310" s="345">
        <f t="shared" si="127"/>
        <v>26.620867179224355</v>
      </c>
      <c r="AB310" s="346">
        <f t="shared" si="128"/>
        <v>-88.127213760366487</v>
      </c>
      <c r="AD310">
        <f t="shared" si="132"/>
        <v>0</v>
      </c>
      <c r="AE310">
        <f t="shared" si="135"/>
        <v>0</v>
      </c>
    </row>
    <row r="311" spans="1:31" x14ac:dyDescent="0.2">
      <c r="A311" s="347">
        <v>21629</v>
      </c>
      <c r="B311" s="364">
        <f t="shared" si="129"/>
        <v>21.629000000000001</v>
      </c>
      <c r="C311" s="337">
        <f t="shared" si="110"/>
        <v>53.452129881314491</v>
      </c>
      <c r="D311" s="338">
        <f t="shared" si="111"/>
        <v>1.5520869068896093</v>
      </c>
      <c r="E311" s="338">
        <f t="shared" si="112"/>
        <v>1.0008307393367966</v>
      </c>
      <c r="F311" s="339">
        <f t="shared" si="113"/>
        <v>4.0747138246884231E-2</v>
      </c>
      <c r="G311" s="338">
        <f t="shared" si="114"/>
        <v>1</v>
      </c>
      <c r="H311" s="339">
        <f t="shared" si="115"/>
        <v>0</v>
      </c>
      <c r="I311" s="337">
        <f t="shared" si="116"/>
        <v>2873.550868328527</v>
      </c>
      <c r="J311" s="340">
        <f t="shared" si="117"/>
        <v>1.5704483252922241</v>
      </c>
      <c r="K311" s="348">
        <f t="shared" si="133"/>
        <v>3.5090078946607077</v>
      </c>
      <c r="L311" s="349">
        <f t="shared" si="134"/>
        <v>1.2818098927245138</v>
      </c>
      <c r="M311" s="337">
        <f t="shared" si="118"/>
        <v>1.0021029501847603</v>
      </c>
      <c r="N311" s="340">
        <f t="shared" si="119"/>
        <v>6.4796164287252392E-2</v>
      </c>
      <c r="O311" s="341">
        <f t="shared" si="120"/>
        <v>0.99989120828485212</v>
      </c>
      <c r="P311" s="342">
        <f t="shared" si="121"/>
        <v>2.6798599897615027E-2</v>
      </c>
      <c r="Q311" s="343">
        <f t="shared" si="122"/>
        <v>9.1623731134894832</v>
      </c>
      <c r="R311" s="344">
        <f t="shared" si="123"/>
        <v>-108.3791476820378</v>
      </c>
      <c r="S311" s="346">
        <f t="shared" si="124"/>
        <v>71.620852317962203</v>
      </c>
      <c r="U311" s="319">
        <f t="shared" si="130"/>
        <v>1000000000</v>
      </c>
      <c r="V311" s="319">
        <f t="shared" si="131"/>
        <v>467813641</v>
      </c>
      <c r="X311" s="345">
        <f t="shared" si="125"/>
        <v>39.424286702259572</v>
      </c>
      <c r="Y311" s="346">
        <f t="shared" si="126"/>
        <v>-20.250310756836427</v>
      </c>
      <c r="AA311" s="345">
        <f t="shared" si="127"/>
        <v>26.570836569324918</v>
      </c>
      <c r="AB311" s="346">
        <f t="shared" si="128"/>
        <v>-88.128836925201355</v>
      </c>
      <c r="AD311">
        <f t="shared" si="132"/>
        <v>0</v>
      </c>
      <c r="AE311">
        <f t="shared" si="135"/>
        <v>0</v>
      </c>
    </row>
    <row r="312" spans="1:31" x14ac:dyDescent="0.2">
      <c r="A312" s="347">
        <v>21753.5</v>
      </c>
      <c r="B312" s="364">
        <f t="shared" si="129"/>
        <v>21.753499999999999</v>
      </c>
      <c r="C312" s="337">
        <f t="shared" si="110"/>
        <v>53.759701551120692</v>
      </c>
      <c r="D312" s="338">
        <f t="shared" si="111"/>
        <v>1.5521939601866765</v>
      </c>
      <c r="E312" s="338">
        <f t="shared" si="112"/>
        <v>1.0008403265737329</v>
      </c>
      <c r="F312" s="339">
        <f t="shared" si="113"/>
        <v>4.098142355024955E-2</v>
      </c>
      <c r="G312" s="338">
        <f t="shared" si="114"/>
        <v>1</v>
      </c>
      <c r="H312" s="339">
        <f t="shared" si="115"/>
        <v>0</v>
      </c>
      <c r="I312" s="337">
        <f t="shared" si="116"/>
        <v>2890.0914869380185</v>
      </c>
      <c r="J312" s="340">
        <f t="shared" si="117"/>
        <v>1.5704503169801647</v>
      </c>
      <c r="K312" s="348">
        <f t="shared" si="133"/>
        <v>3.5275702274897012</v>
      </c>
      <c r="L312" s="349">
        <f t="shared" si="134"/>
        <v>1.2833739929758508</v>
      </c>
      <c r="M312" s="337">
        <f t="shared" si="118"/>
        <v>1.0021272039318412</v>
      </c>
      <c r="N312" s="340">
        <f t="shared" si="119"/>
        <v>6.5168089331833989E-2</v>
      </c>
      <c r="O312" s="341">
        <f t="shared" si="120"/>
        <v>0.99988995344398701</v>
      </c>
      <c r="P312" s="342">
        <f t="shared" si="121"/>
        <v>2.6952928036570185E-2</v>
      </c>
      <c r="Q312" s="343">
        <f t="shared" si="122"/>
        <v>9.1083927571221359</v>
      </c>
      <c r="R312" s="344">
        <f t="shared" si="123"/>
        <v>-108.31250768352992</v>
      </c>
      <c r="S312" s="346">
        <f t="shared" si="124"/>
        <v>71.687492316470085</v>
      </c>
      <c r="U312" s="319">
        <f t="shared" si="130"/>
        <v>1000000000</v>
      </c>
      <c r="V312" s="319">
        <f t="shared" si="131"/>
        <v>473214762.25</v>
      </c>
      <c r="X312" s="345">
        <f t="shared" si="125"/>
        <v>39.420048921895606</v>
      </c>
      <c r="Y312" s="346">
        <f t="shared" si="126"/>
        <v>-20.182118264284401</v>
      </c>
      <c r="AA312" s="345">
        <f t="shared" si="127"/>
        <v>26.521093993321536</v>
      </c>
      <c r="AB312" s="346">
        <f t="shared" si="128"/>
        <v>-88.130389419245503</v>
      </c>
      <c r="AD312">
        <f t="shared" si="132"/>
        <v>0</v>
      </c>
      <c r="AE312">
        <f t="shared" si="135"/>
        <v>0</v>
      </c>
    </row>
    <row r="313" spans="1:31" x14ac:dyDescent="0.2">
      <c r="A313" s="347">
        <v>21878</v>
      </c>
      <c r="B313" s="364">
        <f t="shared" si="129"/>
        <v>21.878</v>
      </c>
      <c r="C313" s="337">
        <f t="shared" si="110"/>
        <v>54.067273830025322</v>
      </c>
      <c r="D313" s="338">
        <f t="shared" si="111"/>
        <v>1.5522997954976412</v>
      </c>
      <c r="E313" s="338">
        <f t="shared" si="112"/>
        <v>1.0008499687453436</v>
      </c>
      <c r="F313" s="339">
        <f t="shared" si="113"/>
        <v>4.1215704352272974E-2</v>
      </c>
      <c r="G313" s="338">
        <f t="shared" si="114"/>
        <v>1</v>
      </c>
      <c r="H313" s="339">
        <f t="shared" si="115"/>
        <v>0</v>
      </c>
      <c r="I313" s="337">
        <f t="shared" si="116"/>
        <v>2906.6321055588442</v>
      </c>
      <c r="J313" s="340">
        <f t="shared" si="117"/>
        <v>1.5704522860001173</v>
      </c>
      <c r="K313" s="348">
        <f t="shared" si="133"/>
        <v>3.5461410998416003</v>
      </c>
      <c r="L313" s="349">
        <f t="shared" si="134"/>
        <v>1.2849217148314775</v>
      </c>
      <c r="M313" s="337">
        <f t="shared" si="118"/>
        <v>1.0021515962946923</v>
      </c>
      <c r="N313" s="340">
        <f t="shared" si="119"/>
        <v>6.5539996322552752E-2</v>
      </c>
      <c r="O313" s="341">
        <f t="shared" si="120"/>
        <v>0.9998886914286238</v>
      </c>
      <c r="P313" s="342">
        <f t="shared" si="121"/>
        <v>2.710725739953642E-2</v>
      </c>
      <c r="Q313" s="343">
        <f t="shared" si="122"/>
        <v>9.0547608791141201</v>
      </c>
      <c r="R313" s="344">
        <f t="shared" si="123"/>
        <v>-108.24673430735758</v>
      </c>
      <c r="S313" s="346">
        <f t="shared" si="124"/>
        <v>71.753265692642415</v>
      </c>
      <c r="U313" s="319">
        <f t="shared" si="130"/>
        <v>1000000000</v>
      </c>
      <c r="V313" s="319">
        <f t="shared" si="131"/>
        <v>478646884</v>
      </c>
      <c r="X313" s="345">
        <f t="shared" si="125"/>
        <v>39.415874864054807</v>
      </c>
      <c r="Y313" s="346">
        <f t="shared" si="126"/>
        <v>-20.114861851492631</v>
      </c>
      <c r="AA313" s="345">
        <f t="shared" si="127"/>
        <v>26.471636173154316</v>
      </c>
      <c r="AB313" s="346">
        <f t="shared" si="128"/>
        <v>-88.131872455864951</v>
      </c>
      <c r="AD313">
        <f t="shared" si="132"/>
        <v>0</v>
      </c>
      <c r="AE313">
        <f t="shared" si="135"/>
        <v>0</v>
      </c>
    </row>
    <row r="314" spans="1:31" x14ac:dyDescent="0.2">
      <c r="A314" s="347">
        <v>22005.25</v>
      </c>
      <c r="B314" s="364">
        <f t="shared" si="129"/>
        <v>22.00525</v>
      </c>
      <c r="C314" s="337">
        <f t="shared" si="110"/>
        <v>54.381640492796237</v>
      </c>
      <c r="D314" s="338">
        <f t="shared" si="111"/>
        <v>1.5524067314088208</v>
      </c>
      <c r="E314" s="338">
        <f t="shared" si="112"/>
        <v>1.0008598806631961</v>
      </c>
      <c r="F314" s="339">
        <f t="shared" si="113"/>
        <v>4.1455155353232284E-2</v>
      </c>
      <c r="G314" s="338">
        <f t="shared" si="114"/>
        <v>1</v>
      </c>
      <c r="H314" s="339">
        <f t="shared" si="115"/>
        <v>0</v>
      </c>
      <c r="I314" s="337">
        <f t="shared" si="116"/>
        <v>2923.5380792209594</v>
      </c>
      <c r="J314" s="340">
        <f t="shared" si="117"/>
        <v>1.570454275488431</v>
      </c>
      <c r="K314" s="348">
        <f t="shared" si="133"/>
        <v>3.5651308578097129</v>
      </c>
      <c r="L314" s="349">
        <f t="shared" si="134"/>
        <v>1.2864869570456878</v>
      </c>
      <c r="M314" s="337">
        <f t="shared" si="118"/>
        <v>1.0021766706764144</v>
      </c>
      <c r="N314" s="340">
        <f t="shared" si="119"/>
        <v>6.5920099364161697E-2</v>
      </c>
      <c r="O314" s="341">
        <f t="shared" si="120"/>
        <v>0.99988739412395933</v>
      </c>
      <c r="P314" s="342">
        <f t="shared" si="121"/>
        <v>2.7264996916167562E-2</v>
      </c>
      <c r="Q314" s="343">
        <f t="shared" si="122"/>
        <v>9.0002996910311914</v>
      </c>
      <c r="R314" s="344">
        <f t="shared" si="123"/>
        <v>-108.18039007703909</v>
      </c>
      <c r="S314" s="346">
        <f t="shared" si="124"/>
        <v>71.819609922960908</v>
      </c>
      <c r="U314" s="319">
        <f t="shared" si="130"/>
        <v>1000000000</v>
      </c>
      <c r="V314" s="319">
        <f t="shared" si="131"/>
        <v>484231027.5625</v>
      </c>
      <c r="X314" s="345">
        <f t="shared" si="125"/>
        <v>39.411673032052398</v>
      </c>
      <c r="Y314" s="346">
        <f t="shared" si="126"/>
        <v>-20.047072367973257</v>
      </c>
      <c r="AA314" s="345">
        <f t="shared" si="127"/>
        <v>26.421376817073803</v>
      </c>
      <c r="AB314" s="346">
        <f t="shared" si="128"/>
        <v>-88.133317709065835</v>
      </c>
      <c r="AD314">
        <f t="shared" si="132"/>
        <v>0</v>
      </c>
      <c r="AE314">
        <f t="shared" si="135"/>
        <v>0</v>
      </c>
    </row>
    <row r="315" spans="1:31" x14ac:dyDescent="0.2">
      <c r="A315" s="347">
        <v>22132.5</v>
      </c>
      <c r="B315" s="364">
        <f t="shared" si="129"/>
        <v>22.1325</v>
      </c>
      <c r="C315" s="337">
        <f t="shared" si="110"/>
        <v>54.69600777028851</v>
      </c>
      <c r="D315" s="338">
        <f t="shared" si="111"/>
        <v>1.5525124380851842</v>
      </c>
      <c r="E315" s="338">
        <f t="shared" si="112"/>
        <v>1.0008698499659945</v>
      </c>
      <c r="F315" s="339">
        <f t="shared" si="113"/>
        <v>4.1694601597750722E-2</v>
      </c>
      <c r="G315" s="338">
        <f t="shared" si="114"/>
        <v>1</v>
      </c>
      <c r="H315" s="339">
        <f t="shared" si="115"/>
        <v>0</v>
      </c>
      <c r="I315" s="337">
        <f t="shared" si="116"/>
        <v>2940.4440528945129</v>
      </c>
      <c r="J315" s="340">
        <f t="shared" si="117"/>
        <v>1.5704562420997663</v>
      </c>
      <c r="K315" s="348">
        <f t="shared" si="133"/>
        <v>3.5841292577201393</v>
      </c>
      <c r="L315" s="349">
        <f t="shared" si="134"/>
        <v>1.2880356092566181</v>
      </c>
      <c r="M315" s="337">
        <f t="shared" si="118"/>
        <v>1.0022018898436831</v>
      </c>
      <c r="N315" s="340">
        <f t="shared" si="119"/>
        <v>6.6300183331039236E-2</v>
      </c>
      <c r="O315" s="341">
        <f t="shared" si="120"/>
        <v>0.99988608932536338</v>
      </c>
      <c r="P315" s="342">
        <f t="shared" si="121"/>
        <v>2.7422737726271511E-2</v>
      </c>
      <c r="Q315" s="343">
        <f t="shared" si="122"/>
        <v>8.9461929435062508</v>
      </c>
      <c r="R315" s="344">
        <f t="shared" si="123"/>
        <v>-108.11492389690325</v>
      </c>
      <c r="S315" s="346">
        <f t="shared" si="124"/>
        <v>71.88507610309675</v>
      </c>
      <c r="U315" s="319">
        <f t="shared" si="130"/>
        <v>1000000000</v>
      </c>
      <c r="V315" s="319">
        <f t="shared" si="131"/>
        <v>489847556.25</v>
      </c>
      <c r="X315" s="345">
        <f t="shared" si="125"/>
        <v>39.407534914133173</v>
      </c>
      <c r="Y315" s="346">
        <f t="shared" si="126"/>
        <v>-19.9802310179691</v>
      </c>
      <c r="AA315" s="345">
        <f t="shared" si="127"/>
        <v>26.371408187468081</v>
      </c>
      <c r="AB315" s="346">
        <f t="shared" si="128"/>
        <v>-88.13469287893416</v>
      </c>
      <c r="AD315">
        <f t="shared" si="132"/>
        <v>0</v>
      </c>
      <c r="AE315">
        <f t="shared" si="135"/>
        <v>0</v>
      </c>
    </row>
    <row r="316" spans="1:31" x14ac:dyDescent="0.2">
      <c r="A316" s="347">
        <v>22259.75</v>
      </c>
      <c r="B316" s="364">
        <f t="shared" si="129"/>
        <v>22.25975</v>
      </c>
      <c r="C316" s="337">
        <f t="shared" si="110"/>
        <v>55.010375651963301</v>
      </c>
      <c r="D316" s="338">
        <f t="shared" si="111"/>
        <v>1.5526169365984794</v>
      </c>
      <c r="E316" s="338">
        <f t="shared" si="112"/>
        <v>1.0008798766520244</v>
      </c>
      <c r="F316" s="339">
        <f t="shared" si="113"/>
        <v>4.1934043058513747E-2</v>
      </c>
      <c r="G316" s="338">
        <f t="shared" si="114"/>
        <v>1</v>
      </c>
      <c r="H316" s="339">
        <f t="shared" si="115"/>
        <v>0</v>
      </c>
      <c r="I316" s="337">
        <f t="shared" si="116"/>
        <v>2957.3500265793091</v>
      </c>
      <c r="J316" s="340">
        <f t="shared" si="117"/>
        <v>1.5704581862264591</v>
      </c>
      <c r="K316" s="348">
        <f t="shared" si="133"/>
        <v>3.6031361628727381</v>
      </c>
      <c r="L316" s="349">
        <f t="shared" si="134"/>
        <v>1.2895679265183919</v>
      </c>
      <c r="M316" s="337">
        <f t="shared" si="118"/>
        <v>1.0022272537855685</v>
      </c>
      <c r="N316" s="340">
        <f t="shared" si="119"/>
        <v>6.6680248114812712E-2</v>
      </c>
      <c r="O316" s="341">
        <f t="shared" si="120"/>
        <v>0.99988477703335243</v>
      </c>
      <c r="P316" s="342">
        <f t="shared" si="121"/>
        <v>2.7580479837324846E-2</v>
      </c>
      <c r="Q316" s="343">
        <f t="shared" si="122"/>
        <v>8.892435926284378</v>
      </c>
      <c r="R316" s="344">
        <f t="shared" si="123"/>
        <v>-108.05032237901074</v>
      </c>
      <c r="S316" s="346">
        <f t="shared" si="124"/>
        <v>71.949677620989263</v>
      </c>
      <c r="U316" s="319">
        <f t="shared" si="130"/>
        <v>1000000000</v>
      </c>
      <c r="V316" s="319">
        <f t="shared" si="131"/>
        <v>495496470.0625</v>
      </c>
      <c r="X316" s="345">
        <f t="shared" si="125"/>
        <v>39.403459123779157</v>
      </c>
      <c r="Y316" s="346">
        <f t="shared" si="126"/>
        <v>-19.914323204225212</v>
      </c>
      <c r="AA316" s="345">
        <f t="shared" si="127"/>
        <v>26.321726960600223</v>
      </c>
      <c r="AB316" s="346">
        <f t="shared" si="128"/>
        <v>-88.135999174785525</v>
      </c>
      <c r="AD316">
        <f t="shared" si="132"/>
        <v>0</v>
      </c>
      <c r="AE316">
        <f t="shared" si="135"/>
        <v>0</v>
      </c>
    </row>
    <row r="317" spans="1:31" x14ac:dyDescent="0.2">
      <c r="A317" s="347">
        <v>22387</v>
      </c>
      <c r="B317" s="364">
        <f t="shared" si="129"/>
        <v>22.387</v>
      </c>
      <c r="C317" s="337">
        <f t="shared" si="110"/>
        <v>55.324744127521306</v>
      </c>
      <c r="D317" s="338">
        <f t="shared" si="111"/>
        <v>1.5527202475416224</v>
      </c>
      <c r="E317" s="338">
        <f t="shared" si="112"/>
        <v>1.0008899607195612</v>
      </c>
      <c r="F317" s="339">
        <f t="shared" si="113"/>
        <v>4.2173479708210122E-2</v>
      </c>
      <c r="G317" s="338">
        <f t="shared" si="114"/>
        <v>1</v>
      </c>
      <c r="H317" s="339">
        <f t="shared" si="115"/>
        <v>0</v>
      </c>
      <c r="I317" s="337">
        <f t="shared" si="116"/>
        <v>2974.2560002751557</v>
      </c>
      <c r="J317" s="340">
        <f t="shared" si="117"/>
        <v>1.5704601082519238</v>
      </c>
      <c r="K317" s="348">
        <f t="shared" si="133"/>
        <v>3.6221514393760943</v>
      </c>
      <c r="L317" s="349">
        <f t="shared" si="134"/>
        <v>1.2910841588397264</v>
      </c>
      <c r="M317" s="337">
        <f t="shared" si="118"/>
        <v>1.0022527624910793</v>
      </c>
      <c r="N317" s="340">
        <f t="shared" si="119"/>
        <v>6.7060293607142565E-2</v>
      </c>
      <c r="O317" s="341">
        <f t="shared" si="120"/>
        <v>0.99988345724844596</v>
      </c>
      <c r="P317" s="342">
        <f t="shared" si="121"/>
        <v>2.7738223256804112E-2</v>
      </c>
      <c r="Q317" s="343">
        <f t="shared" si="122"/>
        <v>8.8390240222135219</v>
      </c>
      <c r="R317" s="344">
        <f t="shared" si="123"/>
        <v>-107.9865723965582</v>
      </c>
      <c r="S317" s="346">
        <f t="shared" si="124"/>
        <v>72.013427603441798</v>
      </c>
      <c r="U317" s="319">
        <f t="shared" si="130"/>
        <v>1000000000</v>
      </c>
      <c r="V317" s="319">
        <f t="shared" si="131"/>
        <v>501177769</v>
      </c>
      <c r="X317" s="345">
        <f t="shared" si="125"/>
        <v>39.399444310811866</v>
      </c>
      <c r="Y317" s="346">
        <f t="shared" si="126"/>
        <v>-19.849334618057878</v>
      </c>
      <c r="AA317" s="345">
        <f t="shared" si="127"/>
        <v>26.272329869496662</v>
      </c>
      <c r="AB317" s="346">
        <f t="shared" si="128"/>
        <v>-88.137237778500321</v>
      </c>
      <c r="AD317">
        <f t="shared" si="132"/>
        <v>0</v>
      </c>
      <c r="AE317">
        <f t="shared" si="135"/>
        <v>0</v>
      </c>
    </row>
    <row r="318" spans="1:31" x14ac:dyDescent="0.2">
      <c r="A318" s="347">
        <v>22517.5</v>
      </c>
      <c r="B318" s="364">
        <f t="shared" si="129"/>
        <v>22.517499999999998</v>
      </c>
      <c r="C318" s="337">
        <f t="shared" si="110"/>
        <v>55.647142266697671</v>
      </c>
      <c r="D318" s="338">
        <f t="shared" si="111"/>
        <v>1.5528249847010864</v>
      </c>
      <c r="E318" s="338">
        <f t="shared" si="112"/>
        <v>1.0009003619336707</v>
      </c>
      <c r="F318" s="339">
        <f t="shared" si="113"/>
        <v>4.2419026610242397E-2</v>
      </c>
      <c r="G318" s="338">
        <f t="shared" si="114"/>
        <v>1</v>
      </c>
      <c r="H318" s="339">
        <f t="shared" si="115"/>
        <v>0</v>
      </c>
      <c r="I318" s="337">
        <f t="shared" si="116"/>
        <v>2991.5937572004486</v>
      </c>
      <c r="J318" s="340">
        <f t="shared" si="117"/>
        <v>1.570462056803787</v>
      </c>
      <c r="K318" s="348">
        <f t="shared" si="133"/>
        <v>3.6416609287005315</v>
      </c>
      <c r="L318" s="349">
        <f t="shared" si="134"/>
        <v>1.2926226664315419</v>
      </c>
      <c r="M318" s="337">
        <f t="shared" si="118"/>
        <v>1.0022790730411615</v>
      </c>
      <c r="N318" s="340">
        <f t="shared" si="119"/>
        <v>6.7450025415630638E-2</v>
      </c>
      <c r="O318" s="341">
        <f t="shared" si="120"/>
        <v>0.99988209597402189</v>
      </c>
      <c r="P318" s="342">
        <f t="shared" si="121"/>
        <v>2.7899996853414516E-2</v>
      </c>
      <c r="Q318" s="343">
        <f t="shared" si="122"/>
        <v>8.7846016697859639</v>
      </c>
      <c r="R318" s="344">
        <f t="shared" si="123"/>
        <v>-107.92206517664987</v>
      </c>
      <c r="S318" s="346">
        <f t="shared" si="124"/>
        <v>72.077934823350134</v>
      </c>
      <c r="U318" s="319">
        <f t="shared" si="130"/>
        <v>1000000000</v>
      </c>
      <c r="V318" s="319">
        <f t="shared" si="131"/>
        <v>507037806.25</v>
      </c>
      <c r="X318" s="345">
        <f t="shared" si="125"/>
        <v>39.395388914595998</v>
      </c>
      <c r="Y318" s="346">
        <f t="shared" si="126"/>
        <v>-19.78362625778923</v>
      </c>
      <c r="AA318" s="345">
        <f t="shared" si="127"/>
        <v>26.221962913284969</v>
      </c>
      <c r="AB318" s="346">
        <f t="shared" si="128"/>
        <v>-88.138438918860629</v>
      </c>
      <c r="AD318">
        <f t="shared" si="132"/>
        <v>0</v>
      </c>
      <c r="AE318">
        <f t="shared" si="135"/>
        <v>0</v>
      </c>
    </row>
    <row r="319" spans="1:31" x14ac:dyDescent="0.2">
      <c r="A319" s="347">
        <v>22648</v>
      </c>
      <c r="B319" s="364">
        <f t="shared" si="129"/>
        <v>22.648</v>
      </c>
      <c r="C319" s="337">
        <f t="shared" si="110"/>
        <v>55.969541009283503</v>
      </c>
      <c r="D319" s="338">
        <f t="shared" si="111"/>
        <v>1.552928515236504</v>
      </c>
      <c r="E319" s="338">
        <f t="shared" si="112"/>
        <v>1.0009108234940907</v>
      </c>
      <c r="F319" s="339">
        <f t="shared" si="113"/>
        <v>4.2664568394146625E-2</v>
      </c>
      <c r="G319" s="338">
        <f t="shared" si="114"/>
        <v>1</v>
      </c>
      <c r="H319" s="339">
        <f t="shared" si="115"/>
        <v>0</v>
      </c>
      <c r="I319" s="337">
        <f t="shared" si="116"/>
        <v>3008.9315141369689</v>
      </c>
      <c r="J319" s="340">
        <f t="shared" si="117"/>
        <v>1.5704639829001585</v>
      </c>
      <c r="K319" s="348">
        <f t="shared" si="133"/>
        <v>3.6611789459792154</v>
      </c>
      <c r="L319" s="349">
        <f t="shared" si="134"/>
        <v>1.2941447737974454</v>
      </c>
      <c r="M319" s="337">
        <f t="shared" si="118"/>
        <v>1.0023055358202908</v>
      </c>
      <c r="N319" s="340">
        <f t="shared" si="119"/>
        <v>6.7839736703982551E-2</v>
      </c>
      <c r="O319" s="341">
        <f t="shared" si="120"/>
        <v>0.99988072682018936</v>
      </c>
      <c r="P319" s="342">
        <f t="shared" si="121"/>
        <v>2.8061771842066732E-2</v>
      </c>
      <c r="Q319" s="343">
        <f t="shared" si="122"/>
        <v>8.7305327382602229</v>
      </c>
      <c r="R319" s="344">
        <f t="shared" si="123"/>
        <v>-107.85842639668816</v>
      </c>
      <c r="S319" s="346">
        <f t="shared" si="124"/>
        <v>72.141573603311841</v>
      </c>
      <c r="U319" s="319">
        <f t="shared" si="130"/>
        <v>1000000000</v>
      </c>
      <c r="V319" s="319">
        <f t="shared" si="131"/>
        <v>512931904</v>
      </c>
      <c r="X319" s="345">
        <f t="shared" si="125"/>
        <v>39.391394886430781</v>
      </c>
      <c r="Y319" s="346">
        <f t="shared" si="126"/>
        <v>-19.718855098927353</v>
      </c>
      <c r="AA319" s="345">
        <f t="shared" si="127"/>
        <v>26.171888009924448</v>
      </c>
      <c r="AB319" s="346">
        <f t="shared" si="128"/>
        <v>-88.13957129776081</v>
      </c>
      <c r="AD319">
        <f t="shared" si="132"/>
        <v>0</v>
      </c>
      <c r="AE319">
        <f t="shared" si="135"/>
        <v>0</v>
      </c>
    </row>
    <row r="320" spans="1:31" x14ac:dyDescent="0.2">
      <c r="A320" s="347">
        <v>22778.5</v>
      </c>
      <c r="B320" s="364">
        <f t="shared" si="129"/>
        <v>22.778500000000001</v>
      </c>
      <c r="C320" s="337">
        <f t="shared" si="110"/>
        <v>56.291940344911147</v>
      </c>
      <c r="D320" s="338">
        <f t="shared" si="111"/>
        <v>1.5530308598776335</v>
      </c>
      <c r="E320" s="338">
        <f t="shared" si="112"/>
        <v>1.0009213453989292</v>
      </c>
      <c r="F320" s="339">
        <f t="shared" si="113"/>
        <v>4.2910105030475952E-2</v>
      </c>
      <c r="G320" s="338">
        <f t="shared" si="114"/>
        <v>1</v>
      </c>
      <c r="H320" s="339">
        <f t="shared" si="115"/>
        <v>0</v>
      </c>
      <c r="I320" s="337">
        <f t="shared" si="116"/>
        <v>3026.2692710845245</v>
      </c>
      <c r="J320" s="340">
        <f t="shared" si="117"/>
        <v>1.5704658869269863</v>
      </c>
      <c r="K320" s="348">
        <f t="shared" si="133"/>
        <v>3.6807053555462299</v>
      </c>
      <c r="L320" s="349">
        <f t="shared" si="134"/>
        <v>1.2956507348410746</v>
      </c>
      <c r="M320" s="337">
        <f t="shared" si="118"/>
        <v>1.0023321508164098</v>
      </c>
      <c r="N320" s="340">
        <f t="shared" si="119"/>
        <v>6.8229427355453565E-2</v>
      </c>
      <c r="O320" s="341">
        <f t="shared" si="120"/>
        <v>0.99987934978751847</v>
      </c>
      <c r="P320" s="342">
        <f t="shared" si="121"/>
        <v>2.8223548230824718E-2</v>
      </c>
      <c r="Q320" s="343">
        <f t="shared" si="122"/>
        <v>8.6768125371040341</v>
      </c>
      <c r="R320" s="344">
        <f t="shared" si="123"/>
        <v>-107.79564271436735</v>
      </c>
      <c r="S320" s="346">
        <f t="shared" si="124"/>
        <v>72.204357285632653</v>
      </c>
      <c r="U320" s="319">
        <f t="shared" si="130"/>
        <v>1000000000</v>
      </c>
      <c r="V320" s="319">
        <f t="shared" si="131"/>
        <v>518860062.25</v>
      </c>
      <c r="X320" s="345">
        <f t="shared" si="125"/>
        <v>39.387460881852803</v>
      </c>
      <c r="Y320" s="346">
        <f t="shared" si="126"/>
        <v>-19.655006609289632</v>
      </c>
      <c r="AA320" s="345">
        <f t="shared" si="127"/>
        <v>26.122101813346234</v>
      </c>
      <c r="AB320" s="346">
        <f t="shared" si="128"/>
        <v>-88.140636105077704</v>
      </c>
      <c r="AD320">
        <f t="shared" si="132"/>
        <v>0</v>
      </c>
      <c r="AE320">
        <f t="shared" si="135"/>
        <v>0</v>
      </c>
    </row>
    <row r="321" spans="1:31" x14ac:dyDescent="0.2">
      <c r="A321" s="347">
        <v>22909</v>
      </c>
      <c r="B321" s="364">
        <f t="shared" si="129"/>
        <v>22.908999999999999</v>
      </c>
      <c r="C321" s="337">
        <f t="shared" si="110"/>
        <v>56.614340263449087</v>
      </c>
      <c r="D321" s="338">
        <f t="shared" si="111"/>
        <v>1.5531320388821381</v>
      </c>
      <c r="E321" s="338">
        <f t="shared" si="112"/>
        <v>1.0009319276462829</v>
      </c>
      <c r="F321" s="339">
        <f t="shared" si="113"/>
        <v>4.3155636489787236E-2</v>
      </c>
      <c r="G321" s="338">
        <f t="shared" si="114"/>
        <v>1</v>
      </c>
      <c r="H321" s="339">
        <f t="shared" si="115"/>
        <v>0</v>
      </c>
      <c r="I321" s="337">
        <f t="shared" si="116"/>
        <v>3043.6070280429262</v>
      </c>
      <c r="J321" s="340">
        <f t="shared" si="117"/>
        <v>1.5704677692614246</v>
      </c>
      <c r="K321" s="348">
        <f t="shared" si="133"/>
        <v>3.7002400245416074</v>
      </c>
      <c r="L321" s="349">
        <f t="shared" si="134"/>
        <v>1.2971407984007526</v>
      </c>
      <c r="M321" s="337">
        <f t="shared" si="118"/>
        <v>1.0023589180173935</v>
      </c>
      <c r="N321" s="340">
        <f t="shared" si="119"/>
        <v>6.861909725333637E-2</v>
      </c>
      <c r="O321" s="341">
        <f t="shared" si="120"/>
        <v>0.9998779648765822</v>
      </c>
      <c r="P321" s="342">
        <f t="shared" si="121"/>
        <v>2.8385326027752383E-2</v>
      </c>
      <c r="Q321" s="343">
        <f t="shared" si="122"/>
        <v>8.6234364684896789</v>
      </c>
      <c r="R321" s="344">
        <f t="shared" si="123"/>
        <v>-107.73370105005183</v>
      </c>
      <c r="S321" s="346">
        <f t="shared" si="124"/>
        <v>72.266298949948165</v>
      </c>
      <c r="U321" s="319">
        <f t="shared" si="130"/>
        <v>1000000000</v>
      </c>
      <c r="V321" s="319">
        <f t="shared" si="131"/>
        <v>524822281</v>
      </c>
      <c r="X321" s="345">
        <f t="shared" si="125"/>
        <v>39.383585591830609</v>
      </c>
      <c r="Y321" s="346">
        <f t="shared" si="126"/>
        <v>-19.592066546412859</v>
      </c>
      <c r="AA321" s="345">
        <f t="shared" si="127"/>
        <v>26.072601034754076</v>
      </c>
      <c r="AB321" s="346">
        <f t="shared" si="128"/>
        <v>-88.141634503638969</v>
      </c>
      <c r="AD321">
        <f t="shared" si="132"/>
        <v>0</v>
      </c>
      <c r="AE321">
        <f t="shared" si="135"/>
        <v>0</v>
      </c>
    </row>
    <row r="322" spans="1:31" x14ac:dyDescent="0.2">
      <c r="A322" s="347">
        <v>23042.25</v>
      </c>
      <c r="B322" s="364">
        <f t="shared" si="129"/>
        <v>23.042249999999999</v>
      </c>
      <c r="C322" s="337">
        <f t="shared" si="110"/>
        <v>56.943534641179468</v>
      </c>
      <c r="D322" s="338">
        <f t="shared" si="111"/>
        <v>1.5532341678411898</v>
      </c>
      <c r="E322" s="338">
        <f t="shared" si="112"/>
        <v>1.000942795152489</v>
      </c>
      <c r="F322" s="339">
        <f t="shared" si="113"/>
        <v>4.3406336611282986E-2</v>
      </c>
      <c r="G322" s="338">
        <f t="shared" si="114"/>
        <v>1</v>
      </c>
      <c r="H322" s="339">
        <f t="shared" si="115"/>
        <v>0</v>
      </c>
      <c r="I322" s="337">
        <f t="shared" si="116"/>
        <v>3061.3101400440178</v>
      </c>
      <c r="J322" s="340">
        <f t="shared" si="117"/>
        <v>1.5704696692619979</v>
      </c>
      <c r="K322" s="348">
        <f t="shared" si="133"/>
        <v>3.7201947307908396</v>
      </c>
      <c r="L322" s="349">
        <f t="shared" si="134"/>
        <v>1.2986461116462114</v>
      </c>
      <c r="M322" s="337">
        <f t="shared" si="118"/>
        <v>1.0023864063152306</v>
      </c>
      <c r="N322" s="340">
        <f t="shared" si="119"/>
        <v>6.90169570504197E-2</v>
      </c>
      <c r="O322" s="341">
        <f t="shared" si="120"/>
        <v>0.9998765426532582</v>
      </c>
      <c r="P322" s="342">
        <f t="shared" si="121"/>
        <v>2.855051439671567E-2</v>
      </c>
      <c r="Q322" s="343">
        <f t="shared" si="122"/>
        <v>8.5692860203338999</v>
      </c>
      <c r="R322" s="344">
        <f t="shared" si="123"/>
        <v>-107.67130959919616</v>
      </c>
      <c r="S322" s="346">
        <f t="shared" si="124"/>
        <v>72.328690400803836</v>
      </c>
      <c r="U322" s="319">
        <f t="shared" si="130"/>
        <v>1000000000</v>
      </c>
      <c r="V322" s="319">
        <f t="shared" si="131"/>
        <v>530945285.0625</v>
      </c>
      <c r="X322" s="345">
        <f t="shared" si="125"/>
        <v>39.379687897789552</v>
      </c>
      <c r="Y322" s="346">
        <f t="shared" si="126"/>
        <v>-19.528722999755278</v>
      </c>
      <c r="AA322" s="345">
        <f t="shared" si="127"/>
        <v>26.022348280639353</v>
      </c>
      <c r="AB322" s="346">
        <f t="shared" si="128"/>
        <v>-88.142586599440904</v>
      </c>
      <c r="AD322">
        <f t="shared" si="132"/>
        <v>0</v>
      </c>
      <c r="AE322">
        <f t="shared" si="135"/>
        <v>0</v>
      </c>
    </row>
    <row r="323" spans="1:31" x14ac:dyDescent="0.2">
      <c r="A323" s="347">
        <v>23175.5</v>
      </c>
      <c r="B323" s="364">
        <f t="shared" si="129"/>
        <v>23.1755</v>
      </c>
      <c r="C323" s="337">
        <f t="shared" si="110"/>
        <v>57.272729606021628</v>
      </c>
      <c r="D323" s="338">
        <f t="shared" si="111"/>
        <v>1.553335122757745</v>
      </c>
      <c r="E323" s="338">
        <f t="shared" si="112"/>
        <v>1.0009537255671328</v>
      </c>
      <c r="F323" s="339">
        <f t="shared" si="113"/>
        <v>4.3657031273244121E-2</v>
      </c>
      <c r="G323" s="338">
        <f t="shared" si="114"/>
        <v>1</v>
      </c>
      <c r="H323" s="339">
        <f t="shared" si="115"/>
        <v>0</v>
      </c>
      <c r="I323" s="337">
        <f t="shared" si="116"/>
        <v>3079.0132520560342</v>
      </c>
      <c r="J323" s="340">
        <f t="shared" si="117"/>
        <v>1.5704715474140634</v>
      </c>
      <c r="K323" s="348">
        <f t="shared" si="133"/>
        <v>3.7401577769203267</v>
      </c>
      <c r="L323" s="349">
        <f t="shared" si="134"/>
        <v>1.3001353590544433</v>
      </c>
      <c r="M323" s="337">
        <f t="shared" si="118"/>
        <v>1.0024140532745189</v>
      </c>
      <c r="N323" s="340">
        <f t="shared" si="119"/>
        <v>6.9414794964227075E-2</v>
      </c>
      <c r="O323" s="341">
        <f t="shared" si="120"/>
        <v>0.99987511221735503</v>
      </c>
      <c r="P323" s="342">
        <f t="shared" si="121"/>
        <v>2.8715704250813726E-2</v>
      </c>
      <c r="Q323" s="343">
        <f t="shared" si="122"/>
        <v>8.5154849581276473</v>
      </c>
      <c r="R323" s="344">
        <f t="shared" si="123"/>
        <v>-107.60976927758252</v>
      </c>
      <c r="S323" s="346">
        <f t="shared" si="124"/>
        <v>72.390230722417485</v>
      </c>
      <c r="U323" s="319">
        <f t="shared" si="130"/>
        <v>1000000000</v>
      </c>
      <c r="V323" s="319">
        <f t="shared" si="131"/>
        <v>537103800.25</v>
      </c>
      <c r="X323" s="345">
        <f t="shared" si="125"/>
        <v>39.375848768854517</v>
      </c>
      <c r="Y323" s="346">
        <f t="shared" si="126"/>
        <v>-19.466297452119534</v>
      </c>
      <c r="AA323" s="345">
        <f t="shared" si="127"/>
        <v>25.972386347368143</v>
      </c>
      <c r="AB323" s="346">
        <f t="shared" si="128"/>
        <v>-88.143471825462981</v>
      </c>
      <c r="AD323">
        <f t="shared" si="132"/>
        <v>0</v>
      </c>
      <c r="AE323">
        <f t="shared" si="135"/>
        <v>0</v>
      </c>
    </row>
    <row r="324" spans="1:31" x14ac:dyDescent="0.2">
      <c r="A324" s="347">
        <v>23308.75</v>
      </c>
      <c r="B324" s="364">
        <f t="shared" si="129"/>
        <v>23.30875</v>
      </c>
      <c r="C324" s="337">
        <f t="shared" si="110"/>
        <v>57.601925147909554</v>
      </c>
      <c r="D324" s="338">
        <f t="shared" si="111"/>
        <v>1.5534349237587199</v>
      </c>
      <c r="E324" s="338">
        <f t="shared" si="112"/>
        <v>1.0009647188881534</v>
      </c>
      <c r="F324" s="339">
        <f t="shared" si="113"/>
        <v>4.3907720444338778E-2</v>
      </c>
      <c r="G324" s="338">
        <f t="shared" si="114"/>
        <v>1</v>
      </c>
      <c r="H324" s="339">
        <f t="shared" si="115"/>
        <v>0</v>
      </c>
      <c r="I324" s="337">
        <f t="shared" si="116"/>
        <v>3096.7163640787876</v>
      </c>
      <c r="J324" s="340">
        <f t="shared" si="117"/>
        <v>1.5704734040923269</v>
      </c>
      <c r="K324" s="348">
        <f t="shared" si="133"/>
        <v>3.7601290300973296</v>
      </c>
      <c r="L324" s="349">
        <f t="shared" si="134"/>
        <v>1.3016087899588971</v>
      </c>
      <c r="M324" s="337">
        <f t="shared" si="118"/>
        <v>1.0024418588821311</v>
      </c>
      <c r="N324" s="340">
        <f t="shared" si="119"/>
        <v>6.9812610870638711E-2</v>
      </c>
      <c r="O324" s="341">
        <f t="shared" si="120"/>
        <v>0.9998736735694933</v>
      </c>
      <c r="P324" s="342">
        <f t="shared" si="121"/>
        <v>2.888089559863085E-2</v>
      </c>
      <c r="Q324" s="343">
        <f t="shared" si="122"/>
        <v>8.4620286710999206</v>
      </c>
      <c r="R324" s="344">
        <f t="shared" si="123"/>
        <v>-107.54906696928848</v>
      </c>
      <c r="S324" s="346">
        <f t="shared" si="124"/>
        <v>72.450933030711525</v>
      </c>
      <c r="U324" s="319">
        <f t="shared" si="130"/>
        <v>1000000000</v>
      </c>
      <c r="V324" s="319">
        <f t="shared" si="131"/>
        <v>543297826.5625</v>
      </c>
      <c r="X324" s="345">
        <f t="shared" si="125"/>
        <v>39.372066918837078</v>
      </c>
      <c r="Y324" s="346">
        <f t="shared" si="126"/>
        <v>-19.404775632108873</v>
      </c>
      <c r="AA324" s="345">
        <f t="shared" si="127"/>
        <v>25.922711910357847</v>
      </c>
      <c r="AB324" s="346">
        <f t="shared" si="128"/>
        <v>-88.14429133717961</v>
      </c>
      <c r="AD324">
        <f t="shared" si="132"/>
        <v>0</v>
      </c>
      <c r="AE324">
        <f t="shared" si="135"/>
        <v>0</v>
      </c>
    </row>
    <row r="325" spans="1:31" x14ac:dyDescent="0.2">
      <c r="A325" s="347">
        <v>23442</v>
      </c>
      <c r="B325" s="364">
        <f t="shared" si="129"/>
        <v>23.442</v>
      </c>
      <c r="C325" s="337">
        <f t="shared" si="110"/>
        <v>57.931121257005998</v>
      </c>
      <c r="D325" s="338">
        <f t="shared" si="111"/>
        <v>1.5535335905136352</v>
      </c>
      <c r="E325" s="338">
        <f t="shared" si="112"/>
        <v>1.0009757751134785</v>
      </c>
      <c r="F325" s="339">
        <f t="shared" si="113"/>
        <v>4.4158404093239248E-2</v>
      </c>
      <c r="G325" s="338">
        <f t="shared" si="114"/>
        <v>1</v>
      </c>
      <c r="H325" s="339">
        <f t="shared" si="115"/>
        <v>0</v>
      </c>
      <c r="I325" s="337">
        <f t="shared" si="116"/>
        <v>3114.4194761120943</v>
      </c>
      <c r="J325" s="340">
        <f t="shared" si="117"/>
        <v>1.570475239662976</v>
      </c>
      <c r="K325" s="348">
        <f t="shared" si="133"/>
        <v>3.7801083602422283</v>
      </c>
      <c r="L325" s="349">
        <f t="shared" si="134"/>
        <v>1.3030666486996898</v>
      </c>
      <c r="M325" s="337">
        <f t="shared" si="118"/>
        <v>1.0024698231248659</v>
      </c>
      <c r="N325" s="340">
        <f t="shared" si="119"/>
        <v>7.0210404645576416E-2</v>
      </c>
      <c r="O325" s="341">
        <f t="shared" si="120"/>
        <v>0.99987222671029774</v>
      </c>
      <c r="P325" s="342">
        <f t="shared" si="121"/>
        <v>2.9046088448751277E-2</v>
      </c>
      <c r="Q325" s="343">
        <f t="shared" si="122"/>
        <v>8.4089126391979772</v>
      </c>
      <c r="R325" s="344">
        <f t="shared" si="123"/>
        <v>-107.48918981779565</v>
      </c>
      <c r="S325" s="346">
        <f t="shared" si="124"/>
        <v>72.510810182204352</v>
      </c>
      <c r="U325" s="319">
        <f t="shared" si="130"/>
        <v>1000000000</v>
      </c>
      <c r="V325" s="319">
        <f t="shared" si="131"/>
        <v>549527364</v>
      </c>
      <c r="X325" s="345">
        <f t="shared" si="125"/>
        <v>39.368341095481398</v>
      </c>
      <c r="Y325" s="346">
        <f t="shared" si="126"/>
        <v>-19.344143553937609</v>
      </c>
      <c r="AA325" s="345">
        <f t="shared" si="127"/>
        <v>25.873321701811591</v>
      </c>
      <c r="AB325" s="346">
        <f t="shared" si="128"/>
        <v>-88.145046263858063</v>
      </c>
      <c r="AD325">
        <f t="shared" si="132"/>
        <v>0</v>
      </c>
      <c r="AE325">
        <f t="shared" si="135"/>
        <v>0</v>
      </c>
    </row>
    <row r="326" spans="1:31" x14ac:dyDescent="0.2">
      <c r="A326" s="347">
        <v>23578.5</v>
      </c>
      <c r="B326" s="364">
        <f t="shared" si="129"/>
        <v>23.578499999999998</v>
      </c>
      <c r="C326" s="337">
        <f t="shared" si="110"/>
        <v>58.268347117574585</v>
      </c>
      <c r="D326" s="338">
        <f t="shared" si="111"/>
        <v>1.5536335077879437</v>
      </c>
      <c r="E326" s="338">
        <f t="shared" si="112"/>
        <v>1.0009871662250485</v>
      </c>
      <c r="F326" s="339">
        <f t="shared" si="113"/>
        <v>4.4415196218867636E-2</v>
      </c>
      <c r="G326" s="338">
        <f t="shared" si="114"/>
        <v>1</v>
      </c>
      <c r="H326" s="339">
        <f t="shared" si="115"/>
        <v>0</v>
      </c>
      <c r="I326" s="337">
        <f t="shared" si="116"/>
        <v>3132.5543713764819</v>
      </c>
      <c r="J326" s="340">
        <f t="shared" si="117"/>
        <v>1.5704770984915919</v>
      </c>
      <c r="K326" s="348">
        <f t="shared" si="133"/>
        <v>3.8005832328395481</v>
      </c>
      <c r="L326" s="349">
        <f t="shared" si="134"/>
        <v>1.304544168749852</v>
      </c>
      <c r="M326" s="337">
        <f t="shared" si="118"/>
        <v>1.0024986338944557</v>
      </c>
      <c r="N326" s="340">
        <f t="shared" si="119"/>
        <v>7.0617877630306414E-2</v>
      </c>
      <c r="O326" s="341">
        <f t="shared" si="120"/>
        <v>0.99987073604831922</v>
      </c>
      <c r="P326" s="342">
        <f t="shared" si="121"/>
        <v>2.9215311959462666E-2</v>
      </c>
      <c r="Q326" s="343">
        <f t="shared" si="122"/>
        <v>8.3548492670771992</v>
      </c>
      <c r="R326" s="344">
        <f t="shared" si="123"/>
        <v>-107.42869466609724</v>
      </c>
      <c r="S326" s="346">
        <f t="shared" si="124"/>
        <v>72.571305333902757</v>
      </c>
      <c r="U326" s="319">
        <f t="shared" si="130"/>
        <v>1000000000</v>
      </c>
      <c r="V326" s="319">
        <f t="shared" si="131"/>
        <v>555945662.25</v>
      </c>
      <c r="X326" s="345">
        <f t="shared" si="125"/>
        <v>39.36458121703933</v>
      </c>
      <c r="Y326" s="346">
        <f t="shared" si="126"/>
        <v>-19.282940876172574</v>
      </c>
      <c r="AA326" s="345">
        <f t="shared" si="127"/>
        <v>25.823018208132879</v>
      </c>
      <c r="AB326" s="346">
        <f t="shared" si="128"/>
        <v>-88.145753789924655</v>
      </c>
      <c r="AD326">
        <f t="shared" si="132"/>
        <v>0</v>
      </c>
      <c r="AE326">
        <f t="shared" si="135"/>
        <v>0</v>
      </c>
    </row>
    <row r="327" spans="1:31" x14ac:dyDescent="0.2">
      <c r="A327" s="347">
        <v>23715</v>
      </c>
      <c r="B327" s="364">
        <f t="shared" si="129"/>
        <v>23.715</v>
      </c>
      <c r="C327" s="337">
        <f t="shared" si="110"/>
        <v>58.605573553168348</v>
      </c>
      <c r="D327" s="338">
        <f t="shared" si="111"/>
        <v>1.5537322751812561</v>
      </c>
      <c r="E327" s="338">
        <f t="shared" si="112"/>
        <v>1.0009986233424055</v>
      </c>
      <c r="F327" s="339">
        <f t="shared" si="113"/>
        <v>4.4671982483103938E-2</v>
      </c>
      <c r="G327" s="338">
        <f t="shared" si="114"/>
        <v>1</v>
      </c>
      <c r="H327" s="339">
        <f t="shared" si="115"/>
        <v>0</v>
      </c>
      <c r="I327" s="337">
        <f t="shared" si="116"/>
        <v>3150.6892666515687</v>
      </c>
      <c r="J327" s="340">
        <f t="shared" si="117"/>
        <v>1.5704789359219298</v>
      </c>
      <c r="K327" s="348">
        <f t="shared" si="133"/>
        <v>3.8210663134317358</v>
      </c>
      <c r="L327" s="349">
        <f t="shared" si="134"/>
        <v>1.3060058512731516</v>
      </c>
      <c r="M327" s="337">
        <f t="shared" si="118"/>
        <v>1.0025276111035546</v>
      </c>
      <c r="N327" s="340">
        <f t="shared" si="119"/>
        <v>7.1025327127362661E-2</v>
      </c>
      <c r="O327" s="341">
        <f t="shared" si="120"/>
        <v>0.99986923677090744</v>
      </c>
      <c r="P327" s="342">
        <f t="shared" si="121"/>
        <v>2.9384537064889773E-2</v>
      </c>
      <c r="Q327" s="343">
        <f t="shared" si="122"/>
        <v>8.3011336299316394</v>
      </c>
      <c r="R327" s="344">
        <f t="shared" si="123"/>
        <v>-107.3690389099468</v>
      </c>
      <c r="S327" s="346">
        <f t="shared" si="124"/>
        <v>72.630961090053205</v>
      </c>
      <c r="U327" s="319">
        <f t="shared" si="130"/>
        <v>1000000000</v>
      </c>
      <c r="V327" s="319">
        <f t="shared" si="131"/>
        <v>562401225</v>
      </c>
      <c r="X327" s="345">
        <f t="shared" si="125"/>
        <v>39.360877576002679</v>
      </c>
      <c r="Y327" s="346">
        <f t="shared" si="126"/>
        <v>-19.222643050080137</v>
      </c>
      <c r="AA327" s="345">
        <f t="shared" si="127"/>
        <v>25.773006212023969</v>
      </c>
      <c r="AB327" s="346">
        <f t="shared" si="128"/>
        <v>-88.146395859866658</v>
      </c>
      <c r="AD327">
        <f t="shared" si="132"/>
        <v>0</v>
      </c>
      <c r="AE327">
        <f t="shared" si="135"/>
        <v>0</v>
      </c>
    </row>
    <row r="328" spans="1:31" x14ac:dyDescent="0.2">
      <c r="A328" s="347">
        <v>23851.5</v>
      </c>
      <c r="B328" s="364">
        <f t="shared" si="129"/>
        <v>23.851500000000001</v>
      </c>
      <c r="C328" s="337">
        <f t="shared" si="110"/>
        <v>58.942800553917714</v>
      </c>
      <c r="D328" s="338">
        <f t="shared" si="111"/>
        <v>1.553829912427928</v>
      </c>
      <c r="E328" s="338">
        <f t="shared" si="112"/>
        <v>1.001010146463283</v>
      </c>
      <c r="F328" s="339">
        <f t="shared" si="113"/>
        <v>4.4928762852285462E-2</v>
      </c>
      <c r="G328" s="338">
        <f t="shared" si="114"/>
        <v>1</v>
      </c>
      <c r="H328" s="339">
        <f t="shared" si="115"/>
        <v>0</v>
      </c>
      <c r="I328" s="337">
        <f t="shared" si="116"/>
        <v>3168.8241619371706</v>
      </c>
      <c r="J328" s="340">
        <f t="shared" si="117"/>
        <v>1.5704807523213713</v>
      </c>
      <c r="K328" s="348">
        <f t="shared" si="133"/>
        <v>3.8415574707243727</v>
      </c>
      <c r="L328" s="349">
        <f t="shared" si="134"/>
        <v>1.3074519434089975</v>
      </c>
      <c r="M328" s="337">
        <f t="shared" si="118"/>
        <v>1.0025567547377305</v>
      </c>
      <c r="N328" s="340">
        <f t="shared" si="119"/>
        <v>7.1432753003502131E-2</v>
      </c>
      <c r="O328" s="341">
        <f t="shared" si="120"/>
        <v>0.9998677288787452</v>
      </c>
      <c r="P328" s="342">
        <f t="shared" si="121"/>
        <v>2.9553763774260149E-2</v>
      </c>
      <c r="Q328" s="343">
        <f t="shared" si="122"/>
        <v>8.2477611498534564</v>
      </c>
      <c r="R328" s="344">
        <f t="shared" si="123"/>
        <v>-107.31020953586714</v>
      </c>
      <c r="S328" s="346">
        <f t="shared" si="124"/>
        <v>72.689790464132855</v>
      </c>
      <c r="U328" s="319">
        <f t="shared" si="130"/>
        <v>1000000000</v>
      </c>
      <c r="V328" s="319">
        <f t="shared" si="131"/>
        <v>568894052.25</v>
      </c>
      <c r="X328" s="345">
        <f t="shared" si="125"/>
        <v>39.357228930201934</v>
      </c>
      <c r="Y328" s="346">
        <f t="shared" si="126"/>
        <v>-19.16323592903035</v>
      </c>
      <c r="AA328" s="345">
        <f t="shared" si="127"/>
        <v>25.723282377746521</v>
      </c>
      <c r="AB328" s="346">
        <f t="shared" si="128"/>
        <v>-88.146973606836795</v>
      </c>
      <c r="AD328">
        <f t="shared" si="132"/>
        <v>0</v>
      </c>
      <c r="AE328">
        <f t="shared" si="135"/>
        <v>0</v>
      </c>
    </row>
    <row r="329" spans="1:31" x14ac:dyDescent="0.2">
      <c r="A329" s="347">
        <v>23988</v>
      </c>
      <c r="B329" s="364">
        <f t="shared" si="129"/>
        <v>23.988</v>
      </c>
      <c r="C329" s="337">
        <f t="shared" si="110"/>
        <v>59.280028110177675</v>
      </c>
      <c r="D329" s="338">
        <f t="shared" si="111"/>
        <v>1.5539264388133494</v>
      </c>
      <c r="E329" s="338">
        <f t="shared" si="112"/>
        <v>1.0010217355854012</v>
      </c>
      <c r="F329" s="339">
        <f t="shared" si="113"/>
        <v>4.5185537292754145E-2</v>
      </c>
      <c r="G329" s="338">
        <f t="shared" si="114"/>
        <v>1</v>
      </c>
      <c r="H329" s="339">
        <f t="shared" si="115"/>
        <v>0</v>
      </c>
      <c r="I329" s="337">
        <f t="shared" si="116"/>
        <v>3186.9590572331085</v>
      </c>
      <c r="J329" s="340">
        <f t="shared" si="117"/>
        <v>1.5704825480489351</v>
      </c>
      <c r="K329" s="348">
        <f t="shared" si="133"/>
        <v>3.8620565761582832</v>
      </c>
      <c r="L329" s="349">
        <f t="shared" si="134"/>
        <v>1.3088826873136434</v>
      </c>
      <c r="M329" s="337">
        <f t="shared" si="118"/>
        <v>1.0025860647824705</v>
      </c>
      <c r="N329" s="340">
        <f t="shared" si="119"/>
        <v>7.184015512552859E-2</v>
      </c>
      <c r="O329" s="341">
        <f t="shared" si="120"/>
        <v>0.99986621237251982</v>
      </c>
      <c r="P329" s="342">
        <f t="shared" si="121"/>
        <v>2.9722992096801275E-2</v>
      </c>
      <c r="Q329" s="343">
        <f t="shared" si="122"/>
        <v>8.1947273388832507</v>
      </c>
      <c r="R329" s="344">
        <f t="shared" si="123"/>
        <v>-107.2521937896942</v>
      </c>
      <c r="S329" s="346">
        <f t="shared" si="124"/>
        <v>72.747806210305797</v>
      </c>
      <c r="U329" s="319">
        <f t="shared" si="130"/>
        <v>1000000000</v>
      </c>
      <c r="V329" s="319">
        <f t="shared" si="131"/>
        <v>575424144</v>
      </c>
      <c r="X329" s="345">
        <f t="shared" si="125"/>
        <v>39.353634070375442</v>
      </c>
      <c r="Y329" s="346">
        <f t="shared" si="126"/>
        <v>-19.104705651430532</v>
      </c>
      <c r="AA329" s="345">
        <f t="shared" si="127"/>
        <v>25.673843426602815</v>
      </c>
      <c r="AB329" s="346">
        <f t="shared" si="128"/>
        <v>-88.147488138263668</v>
      </c>
      <c r="AD329">
        <f t="shared" si="132"/>
        <v>0</v>
      </c>
      <c r="AE329">
        <f t="shared" si="135"/>
        <v>0</v>
      </c>
    </row>
    <row r="330" spans="1:31" x14ac:dyDescent="0.2">
      <c r="A330" s="347">
        <v>24127.75</v>
      </c>
      <c r="B330" s="364">
        <f t="shared" si="129"/>
        <v>24.127749999999999</v>
      </c>
      <c r="C330" s="337">
        <f t="shared" si="110"/>
        <v>59.625285459632998</v>
      </c>
      <c r="D330" s="338">
        <f t="shared" si="111"/>
        <v>1.5540241322762816</v>
      </c>
      <c r="E330" s="338">
        <f t="shared" si="112"/>
        <v>1.0010336690137411</v>
      </c>
      <c r="F330" s="339">
        <f t="shared" si="113"/>
        <v>4.5448419233102284E-2</v>
      </c>
      <c r="G330" s="338">
        <f t="shared" si="114"/>
        <v>1</v>
      </c>
      <c r="H330" s="339">
        <f t="shared" si="115"/>
        <v>0</v>
      </c>
      <c r="I330" s="337">
        <f t="shared" si="116"/>
        <v>3205.5257357609034</v>
      </c>
      <c r="J330" s="340">
        <f t="shared" si="117"/>
        <v>1.5704843654822596</v>
      </c>
      <c r="K330" s="348">
        <f t="shared" si="133"/>
        <v>3.8830518583432032</v>
      </c>
      <c r="L330" s="349">
        <f t="shared" si="134"/>
        <v>1.310331843574656</v>
      </c>
      <c r="M330" s="337">
        <f t="shared" si="118"/>
        <v>1.0026162450711451</v>
      </c>
      <c r="N330" s="340">
        <f t="shared" si="119"/>
        <v>7.225723254983564E-2</v>
      </c>
      <c r="O330" s="341">
        <f t="shared" si="120"/>
        <v>0.99986465083557463</v>
      </c>
      <c r="P330" s="342">
        <f t="shared" si="121"/>
        <v>2.9896251345993861E-2</v>
      </c>
      <c r="Q330" s="343">
        <f t="shared" si="122"/>
        <v>8.1407770841743901</v>
      </c>
      <c r="R330" s="344">
        <f t="shared" si="123"/>
        <v>-107.19362658057854</v>
      </c>
      <c r="S330" s="346">
        <f t="shared" si="124"/>
        <v>72.806373419421462</v>
      </c>
      <c r="U330" s="319">
        <f t="shared" si="130"/>
        <v>1000000000</v>
      </c>
      <c r="V330" s="319">
        <f t="shared" si="131"/>
        <v>582148320.0625</v>
      </c>
      <c r="X330" s="345">
        <f t="shared" si="125"/>
        <v>39.350008111542472</v>
      </c>
      <c r="Y330" s="346">
        <f t="shared" si="126"/>
        <v>-19.045676021154122</v>
      </c>
      <c r="AA330" s="345">
        <f t="shared" si="127"/>
        <v>25.623519130726926</v>
      </c>
      <c r="AB330" s="346">
        <f t="shared" si="128"/>
        <v>-88.147950559424416</v>
      </c>
      <c r="AD330">
        <f t="shared" si="132"/>
        <v>0</v>
      </c>
      <c r="AE330">
        <f t="shared" si="135"/>
        <v>0</v>
      </c>
    </row>
    <row r="331" spans="1:31" x14ac:dyDescent="0.2">
      <c r="A331" s="347">
        <v>24267.5</v>
      </c>
      <c r="B331" s="364">
        <f t="shared" si="129"/>
        <v>24.267499999999998</v>
      </c>
      <c r="C331" s="337">
        <f t="shared" si="110"/>
        <v>59.970543371600456</v>
      </c>
      <c r="D331" s="338">
        <f t="shared" si="111"/>
        <v>1.5541207008731794</v>
      </c>
      <c r="E331" s="338">
        <f t="shared" si="112"/>
        <v>1.001045671618777</v>
      </c>
      <c r="F331" s="339">
        <f t="shared" si="113"/>
        <v>4.5711294887672241E-2</v>
      </c>
      <c r="G331" s="338">
        <f t="shared" si="114"/>
        <v>1</v>
      </c>
      <c r="H331" s="339">
        <f t="shared" si="115"/>
        <v>0</v>
      </c>
      <c r="I331" s="337">
        <f t="shared" si="116"/>
        <v>3224.0924142991644</v>
      </c>
      <c r="J331" s="340">
        <f t="shared" si="117"/>
        <v>1.5704861619833674</v>
      </c>
      <c r="K331" s="348">
        <f t="shared" si="133"/>
        <v>3.9040552074282378</v>
      </c>
      <c r="L331" s="349">
        <f t="shared" si="134"/>
        <v>1.3117654102453207</v>
      </c>
      <c r="M331" s="337">
        <f t="shared" si="118"/>
        <v>1.0026465997579854</v>
      </c>
      <c r="N331" s="340">
        <f t="shared" si="119"/>
        <v>7.267428479301391E-2</v>
      </c>
      <c r="O331" s="341">
        <f t="shared" si="120"/>
        <v>0.99986308027095949</v>
      </c>
      <c r="P331" s="342">
        <f t="shared" si="121"/>
        <v>3.0069512305663602E-2</v>
      </c>
      <c r="Q331" s="343">
        <f t="shared" si="122"/>
        <v>8.0871725761568634</v>
      </c>
      <c r="R331" s="344">
        <f t="shared" si="123"/>
        <v>-107.13588595517042</v>
      </c>
      <c r="S331" s="346">
        <f t="shared" si="124"/>
        <v>72.864114044829577</v>
      </c>
      <c r="U331" s="319">
        <f t="shared" si="130"/>
        <v>1000000000</v>
      </c>
      <c r="V331" s="319">
        <f t="shared" si="131"/>
        <v>588911556.25</v>
      </c>
      <c r="X331" s="345">
        <f t="shared" si="125"/>
        <v>39.346436066454672</v>
      </c>
      <c r="Y331" s="346">
        <f t="shared" si="126"/>
        <v>-18.987536966509939</v>
      </c>
      <c r="AA331" s="345">
        <f t="shared" si="127"/>
        <v>25.573486667797198</v>
      </c>
      <c r="AB331" s="346">
        <f t="shared" si="128"/>
        <v>-88.148348988660473</v>
      </c>
      <c r="AD331">
        <f t="shared" si="132"/>
        <v>0</v>
      </c>
      <c r="AE331">
        <f t="shared" si="135"/>
        <v>0</v>
      </c>
    </row>
    <row r="332" spans="1:31" x14ac:dyDescent="0.2">
      <c r="A332" s="347">
        <v>24407.25</v>
      </c>
      <c r="B332" s="364">
        <f t="shared" si="129"/>
        <v>24.407250000000001</v>
      </c>
      <c r="C332" s="337">
        <f t="shared" si="110"/>
        <v>60.315801836420313</v>
      </c>
      <c r="D332" s="338">
        <f t="shared" si="111"/>
        <v>1.5542161639190306</v>
      </c>
      <c r="E332" s="338">
        <f t="shared" si="112"/>
        <v>1.0010577433980208</v>
      </c>
      <c r="F332" s="339">
        <f t="shared" si="113"/>
        <v>4.5974164220359458E-2</v>
      </c>
      <c r="G332" s="338">
        <f t="shared" si="114"/>
        <v>1</v>
      </c>
      <c r="H332" s="339">
        <f t="shared" si="115"/>
        <v>0</v>
      </c>
      <c r="I332" s="337">
        <f t="shared" si="116"/>
        <v>3242.6590928477117</v>
      </c>
      <c r="J332" s="340">
        <f t="shared" si="117"/>
        <v>1.5704879379118173</v>
      </c>
      <c r="K332" s="348">
        <f t="shared" si="133"/>
        <v>3.9250664939134787</v>
      </c>
      <c r="L332" s="349">
        <f t="shared" si="134"/>
        <v>1.3131836317436354</v>
      </c>
      <c r="M332" s="337">
        <f t="shared" si="118"/>
        <v>1.0026771288271525</v>
      </c>
      <c r="N332" s="340">
        <f t="shared" si="119"/>
        <v>7.3091311712279061E-2</v>
      </c>
      <c r="O332" s="341">
        <f t="shared" si="120"/>
        <v>0.99986150067942425</v>
      </c>
      <c r="P332" s="342">
        <f t="shared" si="121"/>
        <v>3.0242774985712637E-2</v>
      </c>
      <c r="Q332" s="343">
        <f t="shared" si="122"/>
        <v>8.0339092766886289</v>
      </c>
      <c r="R332" s="344">
        <f t="shared" si="123"/>
        <v>-107.07895903107364</v>
      </c>
      <c r="S332" s="346">
        <f t="shared" si="124"/>
        <v>72.921040968926363</v>
      </c>
      <c r="U332" s="319">
        <f t="shared" si="130"/>
        <v>1000000000</v>
      </c>
      <c r="V332" s="319">
        <f t="shared" si="131"/>
        <v>595713852.5625</v>
      </c>
      <c r="X332" s="345">
        <f t="shared" si="125"/>
        <v>39.342916738001563</v>
      </c>
      <c r="Y332" s="346">
        <f t="shared" si="126"/>
        <v>-18.930274495798486</v>
      </c>
      <c r="AA332" s="345">
        <f t="shared" si="127"/>
        <v>25.523742696782072</v>
      </c>
      <c r="AB332" s="346">
        <f t="shared" si="128"/>
        <v>-88.148684535275137</v>
      </c>
      <c r="AD332">
        <f t="shared" si="132"/>
        <v>0</v>
      </c>
      <c r="AE332">
        <f t="shared" si="135"/>
        <v>0</v>
      </c>
    </row>
    <row r="333" spans="1:31" x14ac:dyDescent="0.2">
      <c r="A333" s="347">
        <v>24547</v>
      </c>
      <c r="B333" s="364">
        <f t="shared" si="129"/>
        <v>24.547000000000001</v>
      </c>
      <c r="C333" s="337">
        <f t="shared" ref="C333:C396" si="136">SQRT(1+(A333/pole1)^2)</f>
        <v>60.66106084465271</v>
      </c>
      <c r="D333" s="338">
        <f t="shared" ref="D333:D396" si="137">ATAN(A333/pole1)</f>
        <v>1.5543105402891713</v>
      </c>
      <c r="E333" s="338">
        <f t="shared" ref="E333:E396" si="138">SQRT(1+(A333/Zero1)^2)</f>
        <v>1.0010698843489698</v>
      </c>
      <c r="F333" s="339">
        <f t="shared" ref="F333:F396" si="139">ATAN(A333/Zero1)</f>
        <v>4.6237027195064603E-2</v>
      </c>
      <c r="G333" s="338">
        <f t="shared" ref="G333:G396" si="140">IF(VIN_nom&gt;Vout, 1, SQRT(1+(A333/z_RHP)^2))</f>
        <v>1</v>
      </c>
      <c r="H333" s="339">
        <f t="shared" ref="H333:H396" si="141">IF(VIN_nom&gt;Vout, 0, -ATAN(A333/z_RHP))</f>
        <v>0</v>
      </c>
      <c r="I333" s="337">
        <f t="shared" ref="I333:I396" si="142">SQRT(1+(A333/Pole2)^2)</f>
        <v>3261.2257714063694</v>
      </c>
      <c r="J333" s="340">
        <f t="shared" ref="J333:J396" si="143">ATAN(A333/Pole2)</f>
        <v>1.5704896936189789</v>
      </c>
      <c r="K333" s="348">
        <f t="shared" si="133"/>
        <v>3.9460855910087318</v>
      </c>
      <c r="L333" s="349">
        <f t="shared" si="134"/>
        <v>1.314586747529839</v>
      </c>
      <c r="M333" s="337">
        <f t="shared" ref="M333:M396" si="144">SQRT(1+(A333/pole4)^2)</f>
        <v>1.0027078322627185</v>
      </c>
      <c r="N333" s="340">
        <f t="shared" ref="N333:N396" si="145">ATAN(A333/pole4)</f>
        <v>7.350831316489935E-2</v>
      </c>
      <c r="O333" s="341">
        <f t="shared" ref="O333:O396" si="146">SQRT((1-(V333/pterm2))^2+(A333/pterm1)^2)</f>
        <v>0.99985991206172342</v>
      </c>
      <c r="P333" s="342">
        <f t="shared" ref="P333:P396" si="147">IF((ATAN((A333/pterm1)/(1-A333^2/pterm2))&gt;0),ATAN((A333/pterm1)/(1-A333^2/pterm2)),PI()+ATAN((A333/pterm1)/(1-A333^2/pterm2)))</f>
        <v>3.0416039396043017E-2</v>
      </c>
      <c r="Q333" s="343">
        <f t="shared" ref="Q333:Q396" si="148">20*LOG10(((E333*K333*G333)/(C333*I333*O333*M333))*Adc)</f>
        <v>7.9809827366142425</v>
      </c>
      <c r="R333" s="344">
        <f t="shared" ref="R333:R396" si="149">((F333+L333+H333)-(D333+J333+P333+N333))*radconv</f>
        <v>-107.02283318429396</v>
      </c>
      <c r="S333" s="346">
        <f t="shared" ref="S333:S396" si="150">IF(R333&gt;0,R333,R333+180)</f>
        <v>72.977166815706042</v>
      </c>
      <c r="U333" s="319">
        <f t="shared" si="130"/>
        <v>1000000000</v>
      </c>
      <c r="V333" s="319">
        <f t="shared" si="131"/>
        <v>602555209</v>
      </c>
      <c r="X333" s="345">
        <f t="shared" ref="X333:X396" si="151">20*LOG10((K333/(I333*M333))*AEA)</f>
        <v>39.339448960896924</v>
      </c>
      <c r="Y333" s="346">
        <f t="shared" ref="Y333:Y396" si="152">(L333-(J333+N333))*radconv</f>
        <v>-18.873874900912778</v>
      </c>
      <c r="AA333" s="345">
        <f t="shared" ref="AA333:AA396" si="153">20*LOG10((E333*G333/(C333*O333))*Acs*Am)</f>
        <v>25.474283933812323</v>
      </c>
      <c r="AB333" s="346">
        <f t="shared" ref="AB333:AB396" si="154">(F333+H333-(D333+P333))*radconv</f>
        <v>-88.148958283381177</v>
      </c>
      <c r="AD333">
        <f t="shared" si="132"/>
        <v>0</v>
      </c>
      <c r="AE333">
        <f t="shared" si="135"/>
        <v>0</v>
      </c>
    </row>
    <row r="334" spans="1:31" x14ac:dyDescent="0.2">
      <c r="A334" s="347">
        <v>24690</v>
      </c>
      <c r="B334" s="364">
        <f t="shared" ref="B334:B397" si="155">A334/1000</f>
        <v>24.69</v>
      </c>
      <c r="C334" s="337">
        <f t="shared" si="136"/>
        <v>61.014349685038816</v>
      </c>
      <c r="D334" s="338">
        <f t="shared" si="137"/>
        <v>1.5544060058239138</v>
      </c>
      <c r="E334" s="338">
        <f t="shared" si="138"/>
        <v>1.001082379248367</v>
      </c>
      <c r="F334" s="339">
        <f t="shared" si="139"/>
        <v>4.6505996643060779E-2</v>
      </c>
      <c r="G334" s="338">
        <f t="shared" si="140"/>
        <v>1</v>
      </c>
      <c r="H334" s="339">
        <f t="shared" si="141"/>
        <v>0</v>
      </c>
      <c r="I334" s="337">
        <f t="shared" si="142"/>
        <v>3280.2242331976086</v>
      </c>
      <c r="J334" s="340">
        <f t="shared" si="143"/>
        <v>1.5704914695825849</v>
      </c>
      <c r="K334" s="348">
        <f t="shared" si="133"/>
        <v>3.9676014600061245</v>
      </c>
      <c r="L334" s="349">
        <f t="shared" si="134"/>
        <v>1.3160071019014929</v>
      </c>
      <c r="M334" s="337">
        <f t="shared" si="144"/>
        <v>1.0027394302110595</v>
      </c>
      <c r="N334" s="340">
        <f t="shared" si="145"/>
        <v>7.393498581497801E-2</v>
      </c>
      <c r="O334" s="341">
        <f t="shared" si="146"/>
        <v>0.99985827715674391</v>
      </c>
      <c r="P334" s="342">
        <f t="shared" si="147"/>
        <v>3.0593335012702207E-2</v>
      </c>
      <c r="Q334" s="343">
        <f t="shared" si="148"/>
        <v>7.9271693943364419</v>
      </c>
      <c r="R334" s="344">
        <f t="shared" si="149"/>
        <v>-106.9662184192252</v>
      </c>
      <c r="S334" s="346">
        <f t="shared" si="150"/>
        <v>73.0337815807748</v>
      </c>
      <c r="U334" s="319">
        <f t="shared" ref="U334:U397" si="156">IF(Q334&lt;0,A334,1000000000)</f>
        <v>1000000000</v>
      </c>
      <c r="V334" s="319">
        <f t="shared" ref="V334:V397" si="157">A334^2</f>
        <v>609596100</v>
      </c>
      <c r="X334" s="345">
        <f t="shared" si="151"/>
        <v>39.335952718141819</v>
      </c>
      <c r="Y334" s="346">
        <f t="shared" si="152"/>
        <v>-18.817042887241474</v>
      </c>
      <c r="AA334" s="345">
        <f t="shared" si="153"/>
        <v>25.423966834289629</v>
      </c>
      <c r="AB334" s="346">
        <f t="shared" si="154"/>
        <v>-88.149175531983715</v>
      </c>
      <c r="AD334">
        <f t="shared" ref="AD334:AD397" si="158">SUM((Q335&lt;0)*(Q334&gt;0))*A334</f>
        <v>0</v>
      </c>
      <c r="AE334">
        <f t="shared" si="135"/>
        <v>0</v>
      </c>
    </row>
    <row r="335" spans="1:31" x14ac:dyDescent="0.2">
      <c r="A335" s="347">
        <v>24833</v>
      </c>
      <c r="B335" s="364">
        <f t="shared" si="155"/>
        <v>24.832999999999998</v>
      </c>
      <c r="C335" s="337">
        <f t="shared" si="136"/>
        <v>61.367639075087013</v>
      </c>
      <c r="D335" s="338">
        <f t="shared" si="137"/>
        <v>1.5545003721821222</v>
      </c>
      <c r="E335" s="338">
        <f t="shared" si="138"/>
        <v>1.0010949465688213</v>
      </c>
      <c r="F335" s="339">
        <f t="shared" si="139"/>
        <v>4.677495935745829E-2</v>
      </c>
      <c r="G335" s="338">
        <f t="shared" si="140"/>
        <v>1</v>
      </c>
      <c r="H335" s="339">
        <f t="shared" si="141"/>
        <v>0</v>
      </c>
      <c r="I335" s="337">
        <f t="shared" si="142"/>
        <v>3299.222694999075</v>
      </c>
      <c r="J335" s="340">
        <f t="shared" si="143"/>
        <v>1.5704932250925387</v>
      </c>
      <c r="K335" s="348">
        <f t="shared" si="133"/>
        <v>3.9891252469151905</v>
      </c>
      <c r="L335" s="349">
        <f t="shared" si="134"/>
        <v>1.3174121317094685</v>
      </c>
      <c r="M335" s="337">
        <f t="shared" si="144"/>
        <v>1.0027712106961388</v>
      </c>
      <c r="N335" s="340">
        <f t="shared" si="145"/>
        <v>7.4361631497942435E-2</v>
      </c>
      <c r="O335" s="341">
        <f t="shared" si="146"/>
        <v>0.99985663280250758</v>
      </c>
      <c r="P335" s="342">
        <f t="shared" si="147"/>
        <v>3.0770632462033501E-2</v>
      </c>
      <c r="Q335" s="343">
        <f t="shared" si="148"/>
        <v>7.8736995069993485</v>
      </c>
      <c r="R335" s="344">
        <f t="shared" si="149"/>
        <v>-106.91041648260405</v>
      </c>
      <c r="S335" s="346">
        <f t="shared" si="150"/>
        <v>73.089583517395951</v>
      </c>
      <c r="U335" s="319">
        <f t="shared" si="156"/>
        <v>1000000000</v>
      </c>
      <c r="V335" s="319">
        <f t="shared" si="157"/>
        <v>616677889</v>
      </c>
      <c r="X335" s="345">
        <f t="shared" si="151"/>
        <v>39.332508081526775</v>
      </c>
      <c r="Y335" s="346">
        <f t="shared" si="152"/>
        <v>-18.76108618938305</v>
      </c>
      <c r="AA335" s="345">
        <f t="shared" si="153"/>
        <v>25.373941583567575</v>
      </c>
      <c r="AB335" s="346">
        <f t="shared" si="154"/>
        <v>-88.149330293221027</v>
      </c>
      <c r="AD335">
        <f t="shared" si="158"/>
        <v>0</v>
      </c>
      <c r="AE335">
        <f t="shared" si="135"/>
        <v>0</v>
      </c>
    </row>
    <row r="336" spans="1:31" x14ac:dyDescent="0.2">
      <c r="A336" s="347">
        <v>24976</v>
      </c>
      <c r="B336" s="364">
        <f t="shared" si="155"/>
        <v>24.975999999999999</v>
      </c>
      <c r="C336" s="337">
        <f t="shared" si="136"/>
        <v>61.720929005358549</v>
      </c>
      <c r="D336" s="338">
        <f t="shared" si="137"/>
        <v>1.5545936582371254</v>
      </c>
      <c r="E336" s="338">
        <f t="shared" si="138"/>
        <v>1.0011075863076055</v>
      </c>
      <c r="F336" s="339">
        <f t="shared" si="139"/>
        <v>4.7043915299597415E-2</v>
      </c>
      <c r="G336" s="338">
        <f t="shared" si="140"/>
        <v>1</v>
      </c>
      <c r="H336" s="339">
        <f t="shared" si="141"/>
        <v>0</v>
      </c>
      <c r="I336" s="337">
        <f t="shared" si="142"/>
        <v>3318.2211568105922</v>
      </c>
      <c r="J336" s="340">
        <f t="shared" si="143"/>
        <v>1.5704949605001624</v>
      </c>
      <c r="K336" s="348">
        <f t="shared" si="133"/>
        <v>4.0106568242579783</v>
      </c>
      <c r="L336" s="349">
        <f t="shared" si="134"/>
        <v>1.3188020781752419</v>
      </c>
      <c r="M336" s="337">
        <f t="shared" si="144"/>
        <v>1.0028031737006022</v>
      </c>
      <c r="N336" s="340">
        <f t="shared" si="145"/>
        <v>7.4788250061042283E-2</v>
      </c>
      <c r="O336" s="341">
        <f t="shared" si="146"/>
        <v>0.999854978999837</v>
      </c>
      <c r="P336" s="342">
        <f t="shared" si="147"/>
        <v>3.0947931754645684E-2</v>
      </c>
      <c r="Q336" s="343">
        <f t="shared" si="148"/>
        <v>7.820568582364972</v>
      </c>
      <c r="R336" s="344">
        <f t="shared" si="149"/>
        <v>-106.85541464902032</v>
      </c>
      <c r="S336" s="346">
        <f t="shared" si="150"/>
        <v>73.144585350979682</v>
      </c>
      <c r="U336" s="319">
        <f t="shared" si="156"/>
        <v>1000000000</v>
      </c>
      <c r="V336" s="319">
        <f t="shared" si="157"/>
        <v>623800576</v>
      </c>
      <c r="X336" s="345">
        <f t="shared" si="151"/>
        <v>39.329113899641413</v>
      </c>
      <c r="Y336" s="346">
        <f t="shared" si="152"/>
        <v>-18.705990997742266</v>
      </c>
      <c r="AA336" s="345">
        <f t="shared" si="153"/>
        <v>25.324204840818567</v>
      </c>
      <c r="AB336" s="346">
        <f t="shared" si="154"/>
        <v>-88.149423651278028</v>
      </c>
      <c r="AD336">
        <f t="shared" si="158"/>
        <v>0</v>
      </c>
      <c r="AE336">
        <f t="shared" si="135"/>
        <v>0</v>
      </c>
    </row>
    <row r="337" spans="1:31" x14ac:dyDescent="0.2">
      <c r="A337" s="347">
        <v>25119</v>
      </c>
      <c r="B337" s="364">
        <f t="shared" si="155"/>
        <v>25.119</v>
      </c>
      <c r="C337" s="337">
        <f t="shared" si="136"/>
        <v>62.074219466629522</v>
      </c>
      <c r="D337" s="338">
        <f t="shared" si="137"/>
        <v>1.5546858824326639</v>
      </c>
      <c r="E337" s="338">
        <f t="shared" si="138"/>
        <v>1.0011202984619767</v>
      </c>
      <c r="F337" s="339">
        <f t="shared" si="139"/>
        <v>4.7312864430824331E-2</v>
      </c>
      <c r="G337" s="338">
        <f t="shared" si="140"/>
        <v>1</v>
      </c>
      <c r="H337" s="339">
        <f t="shared" si="141"/>
        <v>0</v>
      </c>
      <c r="I337" s="337">
        <f t="shared" si="142"/>
        <v>3337.2196186319889</v>
      </c>
      <c r="J337" s="340">
        <f t="shared" si="143"/>
        <v>1.5704966761487773</v>
      </c>
      <c r="K337" s="348">
        <f t="shared" si="133"/>
        <v>4.0321960672337678</v>
      </c>
      <c r="L337" s="349">
        <f t="shared" si="134"/>
        <v>1.3201771776019777</v>
      </c>
      <c r="M337" s="337">
        <f t="shared" si="144"/>
        <v>1.0028353192069972</v>
      </c>
      <c r="N337" s="340">
        <f t="shared" si="145"/>
        <v>7.521484135158607E-2</v>
      </c>
      <c r="O337" s="341">
        <f t="shared" si="146"/>
        <v>0.99985331574955905</v>
      </c>
      <c r="P337" s="342">
        <f t="shared" si="147"/>
        <v>3.1125232901147448E-2</v>
      </c>
      <c r="Q337" s="343">
        <f t="shared" si="148"/>
        <v>7.7677722160498686</v>
      </c>
      <c r="R337" s="344">
        <f t="shared" si="149"/>
        <v>-106.80120044979321</v>
      </c>
      <c r="S337" s="346">
        <f t="shared" si="150"/>
        <v>73.198799550206786</v>
      </c>
      <c r="U337" s="319">
        <f t="shared" si="156"/>
        <v>1000000000</v>
      </c>
      <c r="V337" s="319">
        <f t="shared" si="157"/>
        <v>630964161</v>
      </c>
      <c r="X337" s="345">
        <f t="shared" si="151"/>
        <v>39.325769051770877</v>
      </c>
      <c r="Y337" s="346">
        <f t="shared" si="152"/>
        <v>-18.651743784067424</v>
      </c>
      <c r="AA337" s="345">
        <f t="shared" si="153"/>
        <v>25.274753322373996</v>
      </c>
      <c r="AB337" s="346">
        <f t="shared" si="154"/>
        <v>-88.149456665725793</v>
      </c>
      <c r="AD337">
        <f t="shared" si="158"/>
        <v>0</v>
      </c>
      <c r="AE337">
        <f t="shared" si="135"/>
        <v>0</v>
      </c>
    </row>
    <row r="338" spans="1:31" x14ac:dyDescent="0.2">
      <c r="A338" s="347">
        <v>25265.25</v>
      </c>
      <c r="B338" s="364">
        <f t="shared" si="155"/>
        <v>25.265250000000002</v>
      </c>
      <c r="C338" s="337">
        <f t="shared" si="136"/>
        <v>62.435539796410367</v>
      </c>
      <c r="D338" s="338">
        <f t="shared" si="137"/>
        <v>1.5547791230835186</v>
      </c>
      <c r="E338" s="338">
        <f t="shared" si="138"/>
        <v>1.0011333744290747</v>
      </c>
      <c r="F338" s="339">
        <f t="shared" si="139"/>
        <v>4.75879189571667E-2</v>
      </c>
      <c r="G338" s="338">
        <f t="shared" si="140"/>
        <v>1</v>
      </c>
      <c r="H338" s="339">
        <f t="shared" si="141"/>
        <v>0</v>
      </c>
      <c r="I338" s="337">
        <f t="shared" si="142"/>
        <v>3356.6498636866431</v>
      </c>
      <c r="J338" s="340">
        <f t="shared" si="143"/>
        <v>1.5704984107013502</v>
      </c>
      <c r="K338" s="348">
        <f t="shared" si="133"/>
        <v>4.0542326400683901</v>
      </c>
      <c r="L338" s="349">
        <f t="shared" si="134"/>
        <v>1.3215684135105252</v>
      </c>
      <c r="M338" s="337">
        <f t="shared" si="144"/>
        <v>1.0028683840455148</v>
      </c>
      <c r="N338" s="340">
        <f t="shared" si="145"/>
        <v>7.5651099530316651E-2</v>
      </c>
      <c r="O338" s="341">
        <f t="shared" si="146"/>
        <v>0.99985160492688074</v>
      </c>
      <c r="P338" s="342">
        <f t="shared" si="147"/>
        <v>3.1306565547785895E-2</v>
      </c>
      <c r="Q338" s="343">
        <f t="shared" si="148"/>
        <v>7.7141174819554612</v>
      </c>
      <c r="R338" s="344">
        <f t="shared" si="149"/>
        <v>-106.74655606644299</v>
      </c>
      <c r="S338" s="346">
        <f t="shared" si="150"/>
        <v>73.253443933557008</v>
      </c>
      <c r="U338" s="319">
        <f t="shared" si="156"/>
        <v>1000000000</v>
      </c>
      <c r="V338" s="319">
        <f t="shared" si="157"/>
        <v>638332857.5625</v>
      </c>
      <c r="X338" s="345">
        <f t="shared" si="151"/>
        <v>39.322398076390506</v>
      </c>
      <c r="Y338" s="346">
        <f t="shared" si="152"/>
        <v>-18.597126973099289</v>
      </c>
      <c r="AA338" s="345">
        <f t="shared" si="153"/>
        <v>25.224469563659962</v>
      </c>
      <c r="AB338" s="346">
        <f t="shared" si="154"/>
        <v>-88.149429093343727</v>
      </c>
      <c r="AD338">
        <f t="shared" si="158"/>
        <v>0</v>
      </c>
      <c r="AE338">
        <f t="shared" si="135"/>
        <v>0</v>
      </c>
    </row>
    <row r="339" spans="1:31" x14ac:dyDescent="0.2">
      <c r="A339" s="347">
        <v>25411.5</v>
      </c>
      <c r="B339" s="364">
        <f t="shared" si="155"/>
        <v>25.4115</v>
      </c>
      <c r="C339" s="337">
        <f t="shared" si="136"/>
        <v>62.796860662748124</v>
      </c>
      <c r="D339" s="338">
        <f t="shared" si="137"/>
        <v>1.5548712907581934</v>
      </c>
      <c r="E339" s="338">
        <f t="shared" si="138"/>
        <v>1.0011465261349288</v>
      </c>
      <c r="F339" s="339">
        <f t="shared" si="139"/>
        <v>4.7862966277730339E-2</v>
      </c>
      <c r="G339" s="338">
        <f t="shared" si="140"/>
        <v>1</v>
      </c>
      <c r="H339" s="339">
        <f t="shared" si="141"/>
        <v>0</v>
      </c>
      <c r="I339" s="337">
        <f t="shared" si="142"/>
        <v>3376.08010875128</v>
      </c>
      <c r="J339" s="340">
        <f t="shared" si="143"/>
        <v>1.5705001252882942</v>
      </c>
      <c r="K339" s="348">
        <f t="shared" si="133"/>
        <v>4.0762769751690291</v>
      </c>
      <c r="L339" s="349">
        <f t="shared" si="134"/>
        <v>1.3229446045677777</v>
      </c>
      <c r="M339" s="337">
        <f t="shared" si="144"/>
        <v>1.0029016397385389</v>
      </c>
      <c r="N339" s="340">
        <f t="shared" si="145"/>
        <v>7.6087328859880982E-2</v>
      </c>
      <c r="O339" s="341">
        <f t="shared" si="146"/>
        <v>0.99984988422404408</v>
      </c>
      <c r="P339" s="342">
        <f t="shared" si="147"/>
        <v>3.148790015598385E-2</v>
      </c>
      <c r="Q339" s="343">
        <f t="shared" si="148"/>
        <v>7.6608036393960797</v>
      </c>
      <c r="R339" s="344">
        <f t="shared" si="149"/>
        <v>-106.69270994093772</v>
      </c>
      <c r="S339" s="346">
        <f t="shared" si="150"/>
        <v>73.307290059062282</v>
      </c>
      <c r="U339" s="319">
        <f t="shared" si="156"/>
        <v>1000000000</v>
      </c>
      <c r="V339" s="319">
        <f t="shared" si="157"/>
        <v>645744332.25</v>
      </c>
      <c r="X339" s="345">
        <f t="shared" si="151"/>
        <v>39.319076426009111</v>
      </c>
      <c r="Y339" s="346">
        <f t="shared" si="152"/>
        <v>-18.543369371733</v>
      </c>
      <c r="AA339" s="345">
        <f t="shared" si="153"/>
        <v>25.174477371481977</v>
      </c>
      <c r="AB339" s="346">
        <f t="shared" si="154"/>
        <v>-88.149340569204725</v>
      </c>
      <c r="AD339">
        <f t="shared" si="158"/>
        <v>0</v>
      </c>
      <c r="AE339">
        <f t="shared" si="135"/>
        <v>0</v>
      </c>
    </row>
    <row r="340" spans="1:31" x14ac:dyDescent="0.2">
      <c r="A340" s="347">
        <v>25557.75</v>
      </c>
      <c r="B340" s="364">
        <f t="shared" si="155"/>
        <v>25.557749999999999</v>
      </c>
      <c r="C340" s="337">
        <f t="shared" si="136"/>
        <v>63.15818205643405</v>
      </c>
      <c r="D340" s="338">
        <f t="shared" si="137"/>
        <v>1.5549624038702647</v>
      </c>
      <c r="E340" s="338">
        <f t="shared" si="138"/>
        <v>1.0011597535765542</v>
      </c>
      <c r="F340" s="339">
        <f t="shared" si="139"/>
        <v>4.8138006351184821E-2</v>
      </c>
      <c r="G340" s="338">
        <f t="shared" si="140"/>
        <v>1</v>
      </c>
      <c r="H340" s="339">
        <f t="shared" si="141"/>
        <v>0</v>
      </c>
      <c r="I340" s="337">
        <f t="shared" si="142"/>
        <v>3395.5103538257285</v>
      </c>
      <c r="J340" s="340">
        <f t="shared" si="143"/>
        <v>1.5705018202523591</v>
      </c>
      <c r="K340" s="348">
        <f t="shared" si="133"/>
        <v>4.0983289472792741</v>
      </c>
      <c r="L340" s="349">
        <f t="shared" si="134"/>
        <v>1.3243059883750228</v>
      </c>
      <c r="M340" s="337">
        <f t="shared" si="144"/>
        <v>1.0029350862670836</v>
      </c>
      <c r="N340" s="340">
        <f t="shared" si="145"/>
        <v>7.6523529177131705E-2</v>
      </c>
      <c r="O340" s="341">
        <f t="shared" si="146"/>
        <v>0.9998481536419489</v>
      </c>
      <c r="P340" s="342">
        <f t="shared" si="147"/>
        <v>3.1669236737089573E-2</v>
      </c>
      <c r="Q340" s="343">
        <f t="shared" si="148"/>
        <v>7.6078262474506122</v>
      </c>
      <c r="R340" s="344">
        <f t="shared" si="149"/>
        <v>-106.63964952805534</v>
      </c>
      <c r="S340" s="346">
        <f t="shared" si="150"/>
        <v>73.360350471944656</v>
      </c>
      <c r="U340" s="319">
        <f t="shared" si="156"/>
        <v>1000000000</v>
      </c>
      <c r="V340" s="319">
        <f t="shared" si="157"/>
        <v>653198585.0625</v>
      </c>
      <c r="X340" s="345">
        <f t="shared" si="151"/>
        <v>39.315802995199412</v>
      </c>
      <c r="Y340" s="346">
        <f t="shared" si="152"/>
        <v>-18.490457376708036</v>
      </c>
      <c r="AA340" s="345">
        <f t="shared" si="153"/>
        <v>25.124773410346211</v>
      </c>
      <c r="AB340" s="346">
        <f t="shared" si="154"/>
        <v>-88.149192151347336</v>
      </c>
      <c r="AD340">
        <f t="shared" si="158"/>
        <v>0</v>
      </c>
      <c r="AE340">
        <f t="shared" si="135"/>
        <v>0</v>
      </c>
    </row>
    <row r="341" spans="1:31" x14ac:dyDescent="0.2">
      <c r="A341" s="347">
        <v>25704</v>
      </c>
      <c r="B341" s="364">
        <f t="shared" si="155"/>
        <v>25.704000000000001</v>
      </c>
      <c r="C341" s="337">
        <f t="shared" si="136"/>
        <v>63.519503968468925</v>
      </c>
      <c r="D341" s="338">
        <f t="shared" si="137"/>
        <v>1.5550524804144068</v>
      </c>
      <c r="E341" s="338">
        <f t="shared" si="138"/>
        <v>1.0011730567509489</v>
      </c>
      <c r="F341" s="339">
        <f t="shared" si="139"/>
        <v>4.8413039136206294E-2</v>
      </c>
      <c r="G341" s="338">
        <f t="shared" si="140"/>
        <v>1</v>
      </c>
      <c r="H341" s="339">
        <f t="shared" si="141"/>
        <v>0</v>
      </c>
      <c r="I341" s="337">
        <f t="shared" si="142"/>
        <v>3414.9405989098213</v>
      </c>
      <c r="J341" s="340">
        <f t="shared" si="143"/>
        <v>1.5705034959284943</v>
      </c>
      <c r="K341" s="348">
        <f t="shared" si="133"/>
        <v>4.1203884337812298</v>
      </c>
      <c r="L341" s="349">
        <f t="shared" si="134"/>
        <v>1.3256527976675248</v>
      </c>
      <c r="M341" s="337">
        <f t="shared" si="144"/>
        <v>1.0029687236120575</v>
      </c>
      <c r="N341" s="340">
        <f t="shared" si="145"/>
        <v>7.6959700318987342E-2</v>
      </c>
      <c r="O341" s="341">
        <f t="shared" si="146"/>
        <v>0.99984641318150103</v>
      </c>
      <c r="P341" s="342">
        <f t="shared" si="147"/>
        <v>3.1850575302451188E-2</v>
      </c>
      <c r="Q341" s="343">
        <f t="shared" si="148"/>
        <v>7.555180951771451</v>
      </c>
      <c r="R341" s="344">
        <f t="shared" si="149"/>
        <v>-106.58736253693155</v>
      </c>
      <c r="S341" s="346">
        <f t="shared" si="150"/>
        <v>73.41263746306845</v>
      </c>
      <c r="U341" s="319">
        <f t="shared" si="156"/>
        <v>1000000000</v>
      </c>
      <c r="V341" s="319">
        <f t="shared" si="157"/>
        <v>660695616</v>
      </c>
      <c r="X341" s="345">
        <f t="shared" si="151"/>
        <v>39.312576708068768</v>
      </c>
      <c r="Y341" s="346">
        <f t="shared" si="152"/>
        <v>-18.438377663123259</v>
      </c>
      <c r="AA341" s="345">
        <f t="shared" si="153"/>
        <v>25.075354401797686</v>
      </c>
      <c r="AB341" s="346">
        <f t="shared" si="154"/>
        <v>-88.148984873808274</v>
      </c>
      <c r="AD341">
        <f t="shared" si="158"/>
        <v>0</v>
      </c>
      <c r="AE341">
        <f t="shared" si="135"/>
        <v>0</v>
      </c>
    </row>
    <row r="342" spans="1:31" x14ac:dyDescent="0.2">
      <c r="A342" s="347">
        <v>25853.75</v>
      </c>
      <c r="B342" s="364">
        <f t="shared" si="155"/>
        <v>25.853750000000002</v>
      </c>
      <c r="C342" s="337">
        <f t="shared" si="136"/>
        <v>63.889473428540299</v>
      </c>
      <c r="D342" s="338">
        <f t="shared" si="137"/>
        <v>1.5551436569285306</v>
      </c>
      <c r="E342" s="338">
        <f t="shared" si="138"/>
        <v>1.0011867567618258</v>
      </c>
      <c r="F342" s="339">
        <f t="shared" si="139"/>
        <v>4.86946463070978E-2</v>
      </c>
      <c r="G342" s="338">
        <f t="shared" si="140"/>
        <v>1</v>
      </c>
      <c r="H342" s="339">
        <f t="shared" si="141"/>
        <v>0</v>
      </c>
      <c r="I342" s="337">
        <f t="shared" si="142"/>
        <v>3434.8358413219876</v>
      </c>
      <c r="J342" s="340">
        <f t="shared" si="143"/>
        <v>1.5705051920623145</v>
      </c>
      <c r="K342" s="348">
        <f t="shared" si="133"/>
        <v>4.1429835005415079</v>
      </c>
      <c r="L342" s="349">
        <f t="shared" si="134"/>
        <v>1.3270169745126925</v>
      </c>
      <c r="M342" s="337">
        <f t="shared" si="144"/>
        <v>1.0030033636541618</v>
      </c>
      <c r="N342" s="340">
        <f t="shared" si="145"/>
        <v>7.7406279343247217E-2</v>
      </c>
      <c r="O342" s="341">
        <f t="shared" si="146"/>
        <v>0.99984462083417025</v>
      </c>
      <c r="P342" s="342">
        <f t="shared" si="147"/>
        <v>3.2036255662069572E-2</v>
      </c>
      <c r="Q342" s="343">
        <f t="shared" si="148"/>
        <v>7.5016154221615157</v>
      </c>
      <c r="R342" s="344">
        <f t="shared" si="149"/>
        <v>-106.53461306377413</v>
      </c>
      <c r="S342" s="346">
        <f t="shared" si="150"/>
        <v>73.465386936225869</v>
      </c>
      <c r="U342" s="319">
        <f t="shared" si="156"/>
        <v>1000000000</v>
      </c>
      <c r="V342" s="319">
        <f t="shared" si="157"/>
        <v>668416389.0625</v>
      </c>
      <c r="X342" s="345">
        <f t="shared" si="151"/>
        <v>39.309320966496358</v>
      </c>
      <c r="Y342" s="346">
        <f t="shared" si="152"/>
        <v>-18.385900361944273</v>
      </c>
      <c r="AA342" s="345">
        <f t="shared" si="153"/>
        <v>25.025044613760162</v>
      </c>
      <c r="AB342" s="346">
        <f t="shared" si="154"/>
        <v>-88.148712701829879</v>
      </c>
      <c r="AD342">
        <f t="shared" si="158"/>
        <v>0</v>
      </c>
      <c r="AE342">
        <f t="shared" si="135"/>
        <v>0</v>
      </c>
    </row>
    <row r="343" spans="1:31" x14ac:dyDescent="0.2">
      <c r="A343" s="347">
        <v>26003.5</v>
      </c>
      <c r="B343" s="364">
        <f t="shared" si="155"/>
        <v>26.003499999999999</v>
      </c>
      <c r="C343" s="337">
        <f t="shared" si="136"/>
        <v>64.259443413619067</v>
      </c>
      <c r="D343" s="338">
        <f t="shared" si="137"/>
        <v>1.5552337835565075</v>
      </c>
      <c r="E343" s="338">
        <f t="shared" si="138"/>
        <v>1.0012005361672376</v>
      </c>
      <c r="F343" s="339">
        <f t="shared" si="139"/>
        <v>4.8976245748867518E-2</v>
      </c>
      <c r="G343" s="338">
        <f t="shared" si="140"/>
        <v>1</v>
      </c>
      <c r="H343" s="339">
        <f t="shared" si="141"/>
        <v>0</v>
      </c>
      <c r="I343" s="337">
        <f t="shared" si="142"/>
        <v>3454.7310837439218</v>
      </c>
      <c r="J343" s="340">
        <f t="shared" si="143"/>
        <v>1.5705068686606094</v>
      </c>
      <c r="K343" s="348">
        <f t="shared" ref="K343:K406" si="159">SQRT(1+(A343/Zero2)^2)</f>
        <v>4.1655861936549989</v>
      </c>
      <c r="L343" s="349">
        <f t="shared" ref="L343:L406" si="160">ATAN(A343/Zero2)</f>
        <v>1.3283663496535543</v>
      </c>
      <c r="M343" s="337">
        <f t="shared" si="144"/>
        <v>1.0030382037142205</v>
      </c>
      <c r="N343" s="340">
        <f t="shared" si="145"/>
        <v>7.7852827433133751E-2</v>
      </c>
      <c r="O343" s="341">
        <f t="shared" si="146"/>
        <v>0.99984281813195719</v>
      </c>
      <c r="P343" s="342">
        <f t="shared" si="147"/>
        <v>3.2221938126133179E-2</v>
      </c>
      <c r="Q343" s="343">
        <f t="shared" si="148"/>
        <v>7.4483891030567637</v>
      </c>
      <c r="R343" s="344">
        <f t="shared" si="149"/>
        <v>-106.4826491834685</v>
      </c>
      <c r="S343" s="346">
        <f t="shared" si="150"/>
        <v>73.517350816531504</v>
      </c>
      <c r="U343" s="319">
        <f t="shared" si="156"/>
        <v>1000000000</v>
      </c>
      <c r="V343" s="319">
        <f t="shared" si="157"/>
        <v>676182012.25</v>
      </c>
      <c r="X343" s="345">
        <f t="shared" si="151"/>
        <v>39.30611245994443</v>
      </c>
      <c r="Y343" s="346">
        <f t="shared" si="152"/>
        <v>-18.334268244240388</v>
      </c>
      <c r="AA343" s="345">
        <f t="shared" si="153"/>
        <v>24.975026801207338</v>
      </c>
      <c r="AB343" s="346">
        <f t="shared" si="154"/>
        <v>-88.148380939228119</v>
      </c>
      <c r="AD343">
        <f t="shared" si="158"/>
        <v>0</v>
      </c>
      <c r="AE343">
        <f t="shared" si="135"/>
        <v>0</v>
      </c>
    </row>
    <row r="344" spans="1:31" x14ac:dyDescent="0.2">
      <c r="A344" s="347">
        <v>26153.25</v>
      </c>
      <c r="B344" s="364">
        <f t="shared" si="155"/>
        <v>26.15325</v>
      </c>
      <c r="C344" s="337">
        <f t="shared" si="136"/>
        <v>64.629413914689025</v>
      </c>
      <c r="D344" s="338">
        <f t="shared" si="137"/>
        <v>1.5553228783270521</v>
      </c>
      <c r="E344" s="338">
        <f t="shared" si="138"/>
        <v>1.0012143949639063</v>
      </c>
      <c r="F344" s="339">
        <f t="shared" si="139"/>
        <v>4.9257837417174807E-2</v>
      </c>
      <c r="G344" s="338">
        <f t="shared" si="140"/>
        <v>1</v>
      </c>
      <c r="H344" s="339">
        <f t="shared" si="141"/>
        <v>0</v>
      </c>
      <c r="I344" s="337">
        <f t="shared" si="142"/>
        <v>3474.6263261754557</v>
      </c>
      <c r="J344" s="340">
        <f t="shared" si="143"/>
        <v>1.5705085260589522</v>
      </c>
      <c r="K344" s="348">
        <f t="shared" si="159"/>
        <v>4.1881963896488967</v>
      </c>
      <c r="L344" s="349">
        <f t="shared" si="160"/>
        <v>1.329701157859305</v>
      </c>
      <c r="M344" s="337">
        <f t="shared" si="144"/>
        <v>1.0030732437713921</v>
      </c>
      <c r="N344" s="340">
        <f t="shared" si="145"/>
        <v>7.8299344413791563E-2</v>
      </c>
      <c r="O344" s="341">
        <f t="shared" si="146"/>
        <v>0.99984100507585072</v>
      </c>
      <c r="P344" s="342">
        <f t="shared" si="147"/>
        <v>3.2407622706824166E-2</v>
      </c>
      <c r="Q344" s="343">
        <f t="shared" si="148"/>
        <v>7.3954975877647637</v>
      </c>
      <c r="R344" s="344">
        <f t="shared" si="149"/>
        <v>-106.43145849014678</v>
      </c>
      <c r="S344" s="346">
        <f t="shared" si="150"/>
        <v>73.568541509853219</v>
      </c>
      <c r="U344" s="319">
        <f t="shared" si="156"/>
        <v>1000000000</v>
      </c>
      <c r="V344" s="319">
        <f t="shared" si="157"/>
        <v>683992485.5625</v>
      </c>
      <c r="X344" s="345">
        <f t="shared" si="151"/>
        <v>39.30295012368272</v>
      </c>
      <c r="Y344" s="346">
        <f t="shared" si="152"/>
        <v>-18.283467867936022</v>
      </c>
      <c r="AA344" s="345">
        <f t="shared" si="153"/>
        <v>24.925297622177048</v>
      </c>
      <c r="AB344" s="346">
        <f t="shared" si="154"/>
        <v>-88.147990622210756</v>
      </c>
      <c r="AD344">
        <f t="shared" si="158"/>
        <v>0</v>
      </c>
      <c r="AE344">
        <f t="shared" si="135"/>
        <v>0</v>
      </c>
    </row>
    <row r="345" spans="1:31" x14ac:dyDescent="0.2">
      <c r="A345" s="347">
        <v>26303</v>
      </c>
      <c r="B345" s="364">
        <f t="shared" si="155"/>
        <v>26.303000000000001</v>
      </c>
      <c r="C345" s="337">
        <f t="shared" si="136"/>
        <v>64.999384922939271</v>
      </c>
      <c r="D345" s="338">
        <f t="shared" si="137"/>
        <v>1.5554109588584735</v>
      </c>
      <c r="E345" s="338">
        <f t="shared" si="138"/>
        <v>1.0012283331485354</v>
      </c>
      <c r="F345" s="339">
        <f t="shared" si="139"/>
        <v>4.9539421267686408E-2</v>
      </c>
      <c r="G345" s="338">
        <f t="shared" si="140"/>
        <v>1</v>
      </c>
      <c r="H345" s="339">
        <f t="shared" si="141"/>
        <v>0</v>
      </c>
      <c r="I345" s="337">
        <f t="shared" si="142"/>
        <v>3494.5215686164256</v>
      </c>
      <c r="J345" s="340">
        <f t="shared" si="143"/>
        <v>1.5705101645852744</v>
      </c>
      <c r="K345" s="348">
        <f t="shared" si="159"/>
        <v>4.2108139676618226</v>
      </c>
      <c r="L345" s="349">
        <f t="shared" si="160"/>
        <v>1.3310216290652228</v>
      </c>
      <c r="M345" s="337">
        <f t="shared" si="144"/>
        <v>1.003108483804718</v>
      </c>
      <c r="N345" s="340">
        <f t="shared" si="145"/>
        <v>7.8745830110439313E-2</v>
      </c>
      <c r="O345" s="341">
        <f t="shared" si="146"/>
        <v>0.99983918166684571</v>
      </c>
      <c r="P345" s="342">
        <f t="shared" si="147"/>
        <v>3.2593309416324552E-2</v>
      </c>
      <c r="Q345" s="343">
        <f t="shared" si="148"/>
        <v>7.3429365553202706</v>
      </c>
      <c r="R345" s="344">
        <f t="shared" si="149"/>
        <v>-106.38102883095563</v>
      </c>
      <c r="S345" s="346">
        <f t="shared" si="150"/>
        <v>73.618971169044372</v>
      </c>
      <c r="U345" s="319">
        <f t="shared" si="156"/>
        <v>1000000000</v>
      </c>
      <c r="V345" s="319">
        <f t="shared" si="157"/>
        <v>691847809</v>
      </c>
      <c r="X345" s="345">
        <f t="shared" si="151"/>
        <v>39.299832921521009</v>
      </c>
      <c r="Y345" s="346">
        <f t="shared" si="152"/>
        <v>-18.233486067485025</v>
      </c>
      <c r="AA345" s="345">
        <f t="shared" si="153"/>
        <v>24.875853791894265</v>
      </c>
      <c r="AB345" s="346">
        <f t="shared" si="154"/>
        <v>-88.147542763470639</v>
      </c>
      <c r="AD345">
        <f t="shared" si="158"/>
        <v>0</v>
      </c>
      <c r="AE345">
        <f t="shared" si="135"/>
        <v>0</v>
      </c>
    </row>
    <row r="346" spans="1:31" x14ac:dyDescent="0.2">
      <c r="A346" s="347">
        <v>26456</v>
      </c>
      <c r="B346" s="364">
        <f t="shared" si="155"/>
        <v>26.456</v>
      </c>
      <c r="C346" s="337">
        <f t="shared" si="136"/>
        <v>65.377385866923262</v>
      </c>
      <c r="D346" s="338">
        <f t="shared" si="137"/>
        <v>1.5554999214022154</v>
      </c>
      <c r="E346" s="338">
        <f t="shared" si="138"/>
        <v>1.0012426558189522</v>
      </c>
      <c r="F346" s="339">
        <f t="shared" si="139"/>
        <v>4.9827108166657169E-2</v>
      </c>
      <c r="G346" s="338">
        <f t="shared" si="140"/>
        <v>1</v>
      </c>
      <c r="H346" s="339">
        <f t="shared" si="141"/>
        <v>0</v>
      </c>
      <c r="I346" s="337">
        <f t="shared" si="142"/>
        <v>3514.8485942919037</v>
      </c>
      <c r="J346" s="340">
        <f t="shared" si="143"/>
        <v>1.5705118195148065</v>
      </c>
      <c r="K346" s="348">
        <f t="shared" si="159"/>
        <v>4.233929912314319</v>
      </c>
      <c r="L346" s="349">
        <f t="shared" si="160"/>
        <v>1.3323561854011809</v>
      </c>
      <c r="M346" s="337">
        <f t="shared" si="144"/>
        <v>1.0031446951581811</v>
      </c>
      <c r="N346" s="340">
        <f t="shared" si="145"/>
        <v>7.9201973322313227E-2</v>
      </c>
      <c r="O346" s="341">
        <f t="shared" si="146"/>
        <v>0.99983730799336346</v>
      </c>
      <c r="P346" s="342">
        <f t="shared" si="147"/>
        <v>3.2783028265696679E-2</v>
      </c>
      <c r="Q346" s="343">
        <f t="shared" si="148"/>
        <v>7.2895717110199509</v>
      </c>
      <c r="R346" s="344">
        <f t="shared" si="149"/>
        <v>-106.33027830921837</v>
      </c>
      <c r="S346" s="346">
        <f t="shared" si="150"/>
        <v>73.669721690781628</v>
      </c>
      <c r="U346" s="319">
        <f t="shared" si="156"/>
        <v>1000000000</v>
      </c>
      <c r="V346" s="319">
        <f t="shared" si="157"/>
        <v>699919936</v>
      </c>
      <c r="X346" s="345">
        <f t="shared" si="151"/>
        <v>39.29669363225409</v>
      </c>
      <c r="Y346" s="346">
        <f t="shared" si="152"/>
        <v>-18.183251523226275</v>
      </c>
      <c r="AA346" s="345">
        <f t="shared" si="153"/>
        <v>24.825628236860862</v>
      </c>
      <c r="AB346" s="346">
        <f t="shared" si="154"/>
        <v>-88.147026785992082</v>
      </c>
      <c r="AD346">
        <f t="shared" si="158"/>
        <v>0</v>
      </c>
      <c r="AE346">
        <f t="shared" ref="AE346:AE409" si="161">IF(AD346&gt;0,S346,0)</f>
        <v>0</v>
      </c>
    </row>
    <row r="347" spans="1:31" x14ac:dyDescent="0.2">
      <c r="A347" s="347">
        <v>26609</v>
      </c>
      <c r="B347" s="364">
        <f t="shared" si="155"/>
        <v>26.609000000000002</v>
      </c>
      <c r="C347" s="337">
        <f t="shared" si="136"/>
        <v>65.755387322376876</v>
      </c>
      <c r="D347" s="338">
        <f t="shared" si="137"/>
        <v>1.5555878611263918</v>
      </c>
      <c r="E347" s="338">
        <f t="shared" si="138"/>
        <v>1.0012570613535929</v>
      </c>
      <c r="F347" s="339">
        <f t="shared" si="139"/>
        <v>5.0114786811275715E-2</v>
      </c>
      <c r="G347" s="338">
        <f t="shared" si="140"/>
        <v>1</v>
      </c>
      <c r="H347" s="339">
        <f t="shared" si="141"/>
        <v>0</v>
      </c>
      <c r="I347" s="337">
        <f t="shared" si="142"/>
        <v>3535.1756199768975</v>
      </c>
      <c r="J347" s="340">
        <f t="shared" si="143"/>
        <v>1.5705134554128681</v>
      </c>
      <c r="K347" s="348">
        <f t="shared" si="159"/>
        <v>4.2570533158665462</v>
      </c>
      <c r="L347" s="349">
        <f t="shared" si="160"/>
        <v>1.3336762460175464</v>
      </c>
      <c r="M347" s="337">
        <f t="shared" si="144"/>
        <v>1.0031811152174865</v>
      </c>
      <c r="N347" s="340">
        <f t="shared" si="145"/>
        <v>7.965808350891615E-2</v>
      </c>
      <c r="O347" s="341">
        <f t="shared" si="146"/>
        <v>0.99983542351484955</v>
      </c>
      <c r="P347" s="342">
        <f t="shared" si="147"/>
        <v>3.2972749362991986E-2</v>
      </c>
      <c r="Q347" s="343">
        <f t="shared" si="148"/>
        <v>7.2365429953704119</v>
      </c>
      <c r="R347" s="344">
        <f t="shared" si="149"/>
        <v>-106.28029734689576</v>
      </c>
      <c r="S347" s="346">
        <f t="shared" si="150"/>
        <v>73.719702653104235</v>
      </c>
      <c r="U347" s="319">
        <f t="shared" si="156"/>
        <v>1000000000</v>
      </c>
      <c r="V347" s="319">
        <f t="shared" si="157"/>
        <v>708038881</v>
      </c>
      <c r="X347" s="345">
        <f t="shared" si="151"/>
        <v>39.293599357907944</v>
      </c>
      <c r="Y347" s="346">
        <f t="shared" si="152"/>
        <v>-18.133844539890564</v>
      </c>
      <c r="AA347" s="345">
        <f t="shared" si="153"/>
        <v>24.775693795557473</v>
      </c>
      <c r="AB347" s="346">
        <f t="shared" si="154"/>
        <v>-88.146452807005204</v>
      </c>
      <c r="AD347">
        <f t="shared" si="158"/>
        <v>0</v>
      </c>
      <c r="AE347">
        <f t="shared" si="161"/>
        <v>0</v>
      </c>
    </row>
    <row r="348" spans="1:31" x14ac:dyDescent="0.2">
      <c r="A348" s="347">
        <v>26762</v>
      </c>
      <c r="B348" s="364">
        <f t="shared" si="155"/>
        <v>26.762</v>
      </c>
      <c r="C348" s="337">
        <f t="shared" si="136"/>
        <v>66.133389280529826</v>
      </c>
      <c r="D348" s="338">
        <f t="shared" si="137"/>
        <v>1.5556747955681751</v>
      </c>
      <c r="E348" s="338">
        <f t="shared" si="138"/>
        <v>1.0012715497488809</v>
      </c>
      <c r="F348" s="339">
        <f t="shared" si="139"/>
        <v>5.0402457154283334E-2</v>
      </c>
      <c r="G348" s="338">
        <f t="shared" si="140"/>
        <v>1</v>
      </c>
      <c r="H348" s="339">
        <f t="shared" si="141"/>
        <v>0</v>
      </c>
      <c r="I348" s="337">
        <f t="shared" si="142"/>
        <v>3555.5026456712435</v>
      </c>
      <c r="J348" s="340">
        <f t="shared" si="143"/>
        <v>1.5705150726058719</v>
      </c>
      <c r="K348" s="348">
        <f t="shared" si="159"/>
        <v>4.280184057429909</v>
      </c>
      <c r="L348" s="349">
        <f t="shared" si="160"/>
        <v>1.3349820412870521</v>
      </c>
      <c r="M348" s="337">
        <f t="shared" si="144"/>
        <v>1.0032177439599044</v>
      </c>
      <c r="N348" s="340">
        <f t="shared" si="145"/>
        <v>8.0114160484080071E-2</v>
      </c>
      <c r="O348" s="341">
        <f t="shared" si="146"/>
        <v>0.99983352823238303</v>
      </c>
      <c r="P348" s="342">
        <f t="shared" si="147"/>
        <v>3.3162472721202582E-2</v>
      </c>
      <c r="Q348" s="343">
        <f t="shared" si="148"/>
        <v>7.1838460631310994</v>
      </c>
      <c r="R348" s="344">
        <f t="shared" si="149"/>
        <v>-106.23107376089607</v>
      </c>
      <c r="S348" s="346">
        <f t="shared" si="150"/>
        <v>73.768926239103934</v>
      </c>
      <c r="U348" s="319">
        <f t="shared" si="156"/>
        <v>1000000000</v>
      </c>
      <c r="V348" s="319">
        <f t="shared" si="157"/>
        <v>716204644</v>
      </c>
      <c r="X348" s="345">
        <f t="shared" si="151"/>
        <v>39.29054907990335</v>
      </c>
      <c r="Y348" s="346">
        <f t="shared" si="152"/>
        <v>-18.085251926127963</v>
      </c>
      <c r="AA348" s="345">
        <f t="shared" si="153"/>
        <v>24.726047141322756</v>
      </c>
      <c r="AB348" s="346">
        <f t="shared" si="154"/>
        <v>-88.145821834768086</v>
      </c>
      <c r="AD348">
        <f t="shared" si="158"/>
        <v>0</v>
      </c>
      <c r="AE348">
        <f t="shared" si="161"/>
        <v>0</v>
      </c>
    </row>
    <row r="349" spans="1:31" x14ac:dyDescent="0.2">
      <c r="A349" s="347">
        <v>26915</v>
      </c>
      <c r="B349" s="364">
        <f t="shared" si="155"/>
        <v>26.914999999999999</v>
      </c>
      <c r="C349" s="337">
        <f t="shared" si="136"/>
        <v>66.511391732811191</v>
      </c>
      <c r="D349" s="338">
        <f t="shared" si="137"/>
        <v>1.5557607418661252</v>
      </c>
      <c r="E349" s="338">
        <f t="shared" si="138"/>
        <v>1.0012861210012194</v>
      </c>
      <c r="F349" s="339">
        <f t="shared" si="139"/>
        <v>5.0690119148429566E-2</v>
      </c>
      <c r="G349" s="338">
        <f t="shared" si="140"/>
        <v>1</v>
      </c>
      <c r="H349" s="339">
        <f t="shared" si="141"/>
        <v>0</v>
      </c>
      <c r="I349" s="337">
        <f t="shared" si="142"/>
        <v>3575.8296713747827</v>
      </c>
      <c r="J349" s="340">
        <f t="shared" si="143"/>
        <v>1.5705166714128074</v>
      </c>
      <c r="K349" s="348">
        <f t="shared" si="159"/>
        <v>4.3033220186770054</v>
      </c>
      <c r="L349" s="349">
        <f t="shared" si="160"/>
        <v>1.3362737968247453</v>
      </c>
      <c r="M349" s="337">
        <f t="shared" si="144"/>
        <v>1.0032545813625773</v>
      </c>
      <c r="N349" s="340">
        <f t="shared" si="145"/>
        <v>8.05702040617194E-2</v>
      </c>
      <c r="O349" s="341">
        <f t="shared" si="146"/>
        <v>0.99983162214704968</v>
      </c>
      <c r="P349" s="342">
        <f t="shared" si="147"/>
        <v>3.3352198353320442E-2</v>
      </c>
      <c r="Q349" s="343">
        <f t="shared" si="148"/>
        <v>7.1314766532325482</v>
      </c>
      <c r="R349" s="344">
        <f t="shared" si="149"/>
        <v>-106.18259561746285</v>
      </c>
      <c r="S349" s="346">
        <f t="shared" si="150"/>
        <v>73.817404382537148</v>
      </c>
      <c r="U349" s="319">
        <f t="shared" si="156"/>
        <v>1000000000</v>
      </c>
      <c r="V349" s="319">
        <f t="shared" si="157"/>
        <v>724417225</v>
      </c>
      <c r="X349" s="345">
        <f t="shared" si="151"/>
        <v>39.287541806991833</v>
      </c>
      <c r="Y349" s="346">
        <f t="shared" si="152"/>
        <v>-18.03746076276332</v>
      </c>
      <c r="AA349" s="345">
        <f t="shared" si="153"/>
        <v>24.676685004335724</v>
      </c>
      <c r="AB349" s="346">
        <f t="shared" si="154"/>
        <v>-88.145134854699535</v>
      </c>
      <c r="AD349">
        <f t="shared" si="158"/>
        <v>0</v>
      </c>
      <c r="AE349">
        <f t="shared" si="161"/>
        <v>0</v>
      </c>
    </row>
    <row r="350" spans="1:31" x14ac:dyDescent="0.2">
      <c r="A350" s="347">
        <v>27071.75</v>
      </c>
      <c r="B350" s="364">
        <f t="shared" si="155"/>
        <v>27.071750000000002</v>
      </c>
      <c r="C350" s="337">
        <f t="shared" si="136"/>
        <v>66.898659454765706</v>
      </c>
      <c r="D350" s="338">
        <f t="shared" si="137"/>
        <v>1.5558477874331278</v>
      </c>
      <c r="E350" s="338">
        <f t="shared" si="138"/>
        <v>1.0013011353164663</v>
      </c>
      <c r="F350" s="339">
        <f t="shared" si="139"/>
        <v>5.0984822973942037E-2</v>
      </c>
      <c r="G350" s="338">
        <f t="shared" si="140"/>
        <v>1</v>
      </c>
      <c r="H350" s="339">
        <f t="shared" si="141"/>
        <v>0</v>
      </c>
      <c r="I350" s="337">
        <f t="shared" si="142"/>
        <v>3596.6549085019951</v>
      </c>
      <c r="J350" s="340">
        <f t="shared" si="143"/>
        <v>1.5705182906645689</v>
      </c>
      <c r="K350" s="348">
        <f t="shared" si="159"/>
        <v>4.3270344530074372</v>
      </c>
      <c r="L350" s="349">
        <f t="shared" si="160"/>
        <v>1.3375828839324968</v>
      </c>
      <c r="M350" s="337">
        <f t="shared" si="144"/>
        <v>1.0032925380129978</v>
      </c>
      <c r="N350" s="340">
        <f t="shared" si="145"/>
        <v>8.103739034814772E-2</v>
      </c>
      <c r="O350" s="341">
        <f t="shared" si="146"/>
        <v>0.99982965814180469</v>
      </c>
      <c r="P350" s="342">
        <f t="shared" si="147"/>
        <v>3.3546576495253652E-2</v>
      </c>
      <c r="Q350" s="343">
        <f t="shared" si="148"/>
        <v>7.0781589725024237</v>
      </c>
      <c r="R350" s="344">
        <f t="shared" si="149"/>
        <v>-106.13369013523719</v>
      </c>
      <c r="S350" s="346">
        <f t="shared" si="150"/>
        <v>73.866309864762812</v>
      </c>
      <c r="U350" s="319">
        <f t="shared" si="156"/>
        <v>1000000000</v>
      </c>
      <c r="V350" s="319">
        <f t="shared" si="157"/>
        <v>732879648.0625</v>
      </c>
      <c r="X350" s="345">
        <f t="shared" si="151"/>
        <v>39.284504416937096</v>
      </c>
      <c r="Y350" s="346">
        <f t="shared" si="152"/>
        <v>-17.989316175169797</v>
      </c>
      <c r="AA350" s="345">
        <f t="shared" si="153"/>
        <v>24.626404713660335</v>
      </c>
      <c r="AB350" s="346">
        <f t="shared" si="154"/>
        <v>-88.144373960067369</v>
      </c>
      <c r="AD350">
        <f t="shared" si="158"/>
        <v>0</v>
      </c>
      <c r="AE350">
        <f t="shared" si="161"/>
        <v>0</v>
      </c>
    </row>
    <row r="351" spans="1:31" x14ac:dyDescent="0.2">
      <c r="A351" s="347">
        <v>27228.5</v>
      </c>
      <c r="B351" s="364">
        <f t="shared" si="155"/>
        <v>27.2285</v>
      </c>
      <c r="C351" s="337">
        <f t="shared" si="136"/>
        <v>67.285927677771895</v>
      </c>
      <c r="D351" s="338">
        <f t="shared" si="137"/>
        <v>1.5559338310087334</v>
      </c>
      <c r="E351" s="338">
        <f t="shared" si="138"/>
        <v>1.0013162365924497</v>
      </c>
      <c r="F351" s="339">
        <f t="shared" si="139"/>
        <v>5.1279517935940787E-2</v>
      </c>
      <c r="G351" s="338">
        <f t="shared" si="140"/>
        <v>1</v>
      </c>
      <c r="H351" s="339">
        <f t="shared" si="141"/>
        <v>0</v>
      </c>
      <c r="I351" s="337">
        <f t="shared" si="142"/>
        <v>3617.4801456385298</v>
      </c>
      <c r="J351" s="340">
        <f t="shared" si="143"/>
        <v>1.5705198912727993</v>
      </c>
      <c r="K351" s="348">
        <f t="shared" si="159"/>
        <v>4.3507542217792912</v>
      </c>
      <c r="L351" s="349">
        <f t="shared" si="160"/>
        <v>1.3388776992801579</v>
      </c>
      <c r="M351" s="337">
        <f t="shared" si="144"/>
        <v>1.0033307136284875</v>
      </c>
      <c r="N351" s="340">
        <f t="shared" si="145"/>
        <v>8.1504541184696272E-2</v>
      </c>
      <c r="O351" s="341">
        <f t="shared" si="146"/>
        <v>0.9998276827999778</v>
      </c>
      <c r="P351" s="342">
        <f t="shared" si="147"/>
        <v>3.3740957051533217E-2</v>
      </c>
      <c r="Q351" s="343">
        <f t="shared" si="148"/>
        <v>7.0251762728604836</v>
      </c>
      <c r="R351" s="344">
        <f t="shared" si="149"/>
        <v>-106.08554250160326</v>
      </c>
      <c r="S351" s="346">
        <f t="shared" si="150"/>
        <v>73.914457498396743</v>
      </c>
      <c r="U351" s="319">
        <f t="shared" si="156"/>
        <v>1000000000</v>
      </c>
      <c r="V351" s="319">
        <f t="shared" si="157"/>
        <v>741391212.25</v>
      </c>
      <c r="X351" s="345">
        <f t="shared" si="151"/>
        <v>39.281510143764805</v>
      </c>
      <c r="Y351" s="346">
        <f t="shared" si="152"/>
        <v>-17.941986199872467</v>
      </c>
      <c r="AA351" s="345">
        <f t="shared" si="153"/>
        <v>24.576416287190689</v>
      </c>
      <c r="AB351" s="346">
        <f t="shared" si="154"/>
        <v>-88.143556301730783</v>
      </c>
      <c r="AD351">
        <f t="shared" si="158"/>
        <v>0</v>
      </c>
      <c r="AE351">
        <f t="shared" si="161"/>
        <v>0</v>
      </c>
    </row>
    <row r="352" spans="1:31" x14ac:dyDescent="0.2">
      <c r="A352" s="347">
        <v>27385.25</v>
      </c>
      <c r="B352" s="364">
        <f t="shared" si="155"/>
        <v>27.385249999999999</v>
      </c>
      <c r="C352" s="337">
        <f t="shared" si="136"/>
        <v>67.673196393227769</v>
      </c>
      <c r="D352" s="338">
        <f t="shared" si="137"/>
        <v>1.5560188897937377</v>
      </c>
      <c r="E352" s="338">
        <f t="shared" si="138"/>
        <v>1.001331424825235</v>
      </c>
      <c r="F352" s="339">
        <f t="shared" si="139"/>
        <v>5.1574203983642354E-2</v>
      </c>
      <c r="G352" s="338">
        <f t="shared" si="140"/>
        <v>1</v>
      </c>
      <c r="H352" s="339">
        <f t="shared" si="141"/>
        <v>0</v>
      </c>
      <c r="I352" s="337">
        <f t="shared" si="142"/>
        <v>3638.3053827842255</v>
      </c>
      <c r="J352" s="340">
        <f t="shared" si="143"/>
        <v>1.5705214735576387</v>
      </c>
      <c r="K352" s="348">
        <f t="shared" si="159"/>
        <v>4.3744812056838436</v>
      </c>
      <c r="L352" s="349">
        <f t="shared" si="160"/>
        <v>1.3401584707185072</v>
      </c>
      <c r="M352" s="337">
        <f t="shared" si="144"/>
        <v>1.0033691081840532</v>
      </c>
      <c r="N352" s="340">
        <f t="shared" si="145"/>
        <v>8.1971656371530505E-2</v>
      </c>
      <c r="O352" s="341">
        <f t="shared" si="146"/>
        <v>0.99982569612275718</v>
      </c>
      <c r="P352" s="342">
        <f t="shared" si="147"/>
        <v>3.3935340036129573E-2</v>
      </c>
      <c r="Q352" s="343">
        <f t="shared" si="148"/>
        <v>6.9725242331362249</v>
      </c>
      <c r="R352" s="344">
        <f t="shared" si="149"/>
        <v>-106.03814065780922</v>
      </c>
      <c r="S352" s="346">
        <f t="shared" si="150"/>
        <v>73.961859342190778</v>
      </c>
      <c r="U352" s="319">
        <f t="shared" si="156"/>
        <v>1000000000</v>
      </c>
      <c r="V352" s="319">
        <f t="shared" si="157"/>
        <v>749951917.5625</v>
      </c>
      <c r="X352" s="345">
        <f t="shared" si="151"/>
        <v>39.278558005210385</v>
      </c>
      <c r="Y352" s="346">
        <f t="shared" si="152"/>
        <v>-17.895457788876335</v>
      </c>
      <c r="AA352" s="345">
        <f t="shared" si="153"/>
        <v>24.526716386020841</v>
      </c>
      <c r="AB352" s="346">
        <f t="shared" si="154"/>
        <v>-88.14268286893288</v>
      </c>
      <c r="AD352">
        <f t="shared" si="158"/>
        <v>0</v>
      </c>
      <c r="AE352">
        <f t="shared" si="161"/>
        <v>0</v>
      </c>
    </row>
    <row r="353" spans="1:31" x14ac:dyDescent="0.2">
      <c r="A353" s="347">
        <v>27542</v>
      </c>
      <c r="B353" s="364">
        <f t="shared" si="155"/>
        <v>27.542000000000002</v>
      </c>
      <c r="C353" s="337">
        <f t="shared" si="136"/>
        <v>68.060465592727127</v>
      </c>
      <c r="D353" s="338">
        <f t="shared" si="137"/>
        <v>1.556102980597498</v>
      </c>
      <c r="E353" s="338">
        <f t="shared" si="138"/>
        <v>1.0013467000108656</v>
      </c>
      <c r="F353" s="339">
        <f t="shared" si="139"/>
        <v>5.1868881066272562E-2</v>
      </c>
      <c r="G353" s="338">
        <f t="shared" si="140"/>
        <v>1</v>
      </c>
      <c r="H353" s="339">
        <f t="shared" si="141"/>
        <v>0</v>
      </c>
      <c r="I353" s="337">
        <f t="shared" si="142"/>
        <v>3659.1306199389269</v>
      </c>
      <c r="J353" s="340">
        <f t="shared" si="143"/>
        <v>1.5705230378319395</v>
      </c>
      <c r="K353" s="348">
        <f t="shared" si="159"/>
        <v>4.3982152879510048</v>
      </c>
      <c r="L353" s="349">
        <f t="shared" si="160"/>
        <v>1.3414254213666705</v>
      </c>
      <c r="M353" s="337">
        <f t="shared" si="144"/>
        <v>1.0034077216545625</v>
      </c>
      <c r="N353" s="340">
        <f t="shared" si="145"/>
        <v>8.2438735708908611E-2</v>
      </c>
      <c r="O353" s="341">
        <f t="shared" si="146"/>
        <v>0.99982369811133764</v>
      </c>
      <c r="P353" s="342">
        <f t="shared" si="147"/>
        <v>3.4129725463012947E-2</v>
      </c>
      <c r="Q353" s="343">
        <f t="shared" si="148"/>
        <v>6.92019861573102</v>
      </c>
      <c r="R353" s="344">
        <f t="shared" si="149"/>
        <v>-105.99147279336638</v>
      </c>
      <c r="S353" s="346">
        <f t="shared" si="150"/>
        <v>74.008527206633616</v>
      </c>
      <c r="U353" s="319">
        <f t="shared" si="156"/>
        <v>1000000000</v>
      </c>
      <c r="V353" s="319">
        <f t="shared" si="157"/>
        <v>758561764</v>
      </c>
      <c r="X353" s="345">
        <f t="shared" si="151"/>
        <v>39.275647045461518</v>
      </c>
      <c r="Y353" s="346">
        <f t="shared" si="152"/>
        <v>-17.84971816487792</v>
      </c>
      <c r="AA353" s="345">
        <f t="shared" si="153"/>
        <v>24.477301728364512</v>
      </c>
      <c r="AB353" s="346">
        <f t="shared" si="154"/>
        <v>-88.141754628488471</v>
      </c>
      <c r="AD353">
        <f t="shared" si="158"/>
        <v>0</v>
      </c>
      <c r="AE353">
        <f t="shared" si="161"/>
        <v>0</v>
      </c>
    </row>
    <row r="354" spans="1:31" x14ac:dyDescent="0.2">
      <c r="A354" s="347">
        <v>27702.5</v>
      </c>
      <c r="B354" s="364">
        <f t="shared" si="155"/>
        <v>27.702500000000001</v>
      </c>
      <c r="C354" s="337">
        <f t="shared" si="136"/>
        <v>68.457000098583734</v>
      </c>
      <c r="D354" s="338">
        <f t="shared" si="137"/>
        <v>1.5561880973052387</v>
      </c>
      <c r="E354" s="338">
        <f t="shared" si="138"/>
        <v>1.0013624307254487</v>
      </c>
      <c r="F354" s="339">
        <f t="shared" si="139"/>
        <v>5.2170598497504307E-2</v>
      </c>
      <c r="G354" s="338">
        <f t="shared" si="140"/>
        <v>1</v>
      </c>
      <c r="H354" s="339">
        <f t="shared" si="141"/>
        <v>0</v>
      </c>
      <c r="I354" s="337">
        <f t="shared" si="142"/>
        <v>3680.4540685179841</v>
      </c>
      <c r="J354" s="340">
        <f t="shared" si="143"/>
        <v>1.5705246211863801</v>
      </c>
      <c r="K354" s="348">
        <f t="shared" si="159"/>
        <v>4.4225244069878915</v>
      </c>
      <c r="L354" s="349">
        <f t="shared" si="160"/>
        <v>1.3427085893204806</v>
      </c>
      <c r="M354" s="337">
        <f t="shared" si="144"/>
        <v>1.0034474856993016</v>
      </c>
      <c r="N354" s="340">
        <f t="shared" si="145"/>
        <v>8.2916951838415923E-2</v>
      </c>
      <c r="O354" s="341">
        <f t="shared" si="146"/>
        <v>0.99982164055768463</v>
      </c>
      <c r="P354" s="342">
        <f t="shared" si="147"/>
        <v>3.4328763804179145E-2</v>
      </c>
      <c r="Q354" s="343">
        <f t="shared" si="148"/>
        <v>6.8669550784041373</v>
      </c>
      <c r="R354" s="344">
        <f t="shared" si="149"/>
        <v>-105.94443692021024</v>
      </c>
      <c r="S354" s="346">
        <f t="shared" si="150"/>
        <v>74.055563079789763</v>
      </c>
      <c r="U354" s="319">
        <f t="shared" si="156"/>
        <v>1000000000</v>
      </c>
      <c r="V354" s="319">
        <f t="shared" si="157"/>
        <v>767428506.25</v>
      </c>
      <c r="X354" s="345">
        <f t="shared" si="151"/>
        <v>39.272708142445531</v>
      </c>
      <c r="Y354" s="346">
        <f t="shared" si="152"/>
        <v>-17.803688542108333</v>
      </c>
      <c r="AA354" s="345">
        <f t="shared" si="153"/>
        <v>24.426997094053611</v>
      </c>
      <c r="AB354" s="346">
        <f t="shared" si="154"/>
        <v>-88.140748378101918</v>
      </c>
      <c r="AD354">
        <f t="shared" si="158"/>
        <v>0</v>
      </c>
      <c r="AE354">
        <f t="shared" si="161"/>
        <v>0</v>
      </c>
    </row>
    <row r="355" spans="1:31" x14ac:dyDescent="0.2">
      <c r="A355" s="347">
        <v>27863</v>
      </c>
      <c r="B355" s="364">
        <f t="shared" si="155"/>
        <v>27.863</v>
      </c>
      <c r="C355" s="337">
        <f t="shared" si="136"/>
        <v>68.853535094688709</v>
      </c>
      <c r="D355" s="338">
        <f t="shared" si="137"/>
        <v>1.5562722336208312</v>
      </c>
      <c r="E355" s="338">
        <f t="shared" si="138"/>
        <v>1.0013782525945978</v>
      </c>
      <c r="F355" s="339">
        <f t="shared" si="139"/>
        <v>5.2472306421874108E-2</v>
      </c>
      <c r="G355" s="338">
        <f t="shared" si="140"/>
        <v>1</v>
      </c>
      <c r="H355" s="339">
        <f t="shared" si="141"/>
        <v>0</v>
      </c>
      <c r="I355" s="337">
        <f t="shared" si="142"/>
        <v>3701.7775171061612</v>
      </c>
      <c r="J355" s="340">
        <f t="shared" si="143"/>
        <v>1.5705261862995423</v>
      </c>
      <c r="K355" s="348">
        <f t="shared" si="159"/>
        <v>4.4468407281795406</v>
      </c>
      <c r="L355" s="349">
        <f t="shared" si="160"/>
        <v>1.3439777260453485</v>
      </c>
      <c r="M355" s="337">
        <f t="shared" si="144"/>
        <v>1.0034874792048978</v>
      </c>
      <c r="N355" s="340">
        <f t="shared" si="145"/>
        <v>8.339512995912822E-2</v>
      </c>
      <c r="O355" s="341">
        <f t="shared" si="146"/>
        <v>0.99981957112359654</v>
      </c>
      <c r="P355" s="342">
        <f t="shared" si="147"/>
        <v>3.4527804735529258E-2</v>
      </c>
      <c r="Q355" s="343">
        <f t="shared" si="148"/>
        <v>6.8140450359870783</v>
      </c>
      <c r="R355" s="344">
        <f t="shared" si="149"/>
        <v>-105.89814627514023</v>
      </c>
      <c r="S355" s="346">
        <f t="shared" si="150"/>
        <v>74.101853724859765</v>
      </c>
      <c r="U355" s="319">
        <f t="shared" si="156"/>
        <v>1000000000</v>
      </c>
      <c r="V355" s="319">
        <f t="shared" si="157"/>
        <v>776346769</v>
      </c>
      <c r="X355" s="345">
        <f t="shared" si="151"/>
        <v>39.269810465299159</v>
      </c>
      <c r="Y355" s="346">
        <f t="shared" si="152"/>
        <v>-17.758459626647639</v>
      </c>
      <c r="AA355" s="345">
        <f t="shared" si="153"/>
        <v>24.376984728782929</v>
      </c>
      <c r="AB355" s="346">
        <f t="shared" si="154"/>
        <v>-88.139686648492614</v>
      </c>
      <c r="AD355">
        <f t="shared" si="158"/>
        <v>0</v>
      </c>
      <c r="AE355">
        <f t="shared" si="161"/>
        <v>0</v>
      </c>
    </row>
    <row r="356" spans="1:31" x14ac:dyDescent="0.2">
      <c r="A356" s="347">
        <v>28023.5</v>
      </c>
      <c r="B356" s="364">
        <f t="shared" si="155"/>
        <v>28.023499999999999</v>
      </c>
      <c r="C356" s="337">
        <f t="shared" si="136"/>
        <v>69.250070572620388</v>
      </c>
      <c r="D356" s="338">
        <f t="shared" si="137"/>
        <v>1.556355406384657</v>
      </c>
      <c r="E356" s="338">
        <f t="shared" si="138"/>
        <v>1.0013941656139922</v>
      </c>
      <c r="F356" s="339">
        <f t="shared" si="139"/>
        <v>5.2774004784906355E-2</v>
      </c>
      <c r="G356" s="338">
        <f t="shared" si="140"/>
        <v>1</v>
      </c>
      <c r="H356" s="339">
        <f t="shared" si="141"/>
        <v>0</v>
      </c>
      <c r="I356" s="337">
        <f t="shared" si="142"/>
        <v>3723.1009657033028</v>
      </c>
      <c r="J356" s="340">
        <f t="shared" si="143"/>
        <v>1.570527733484848</v>
      </c>
      <c r="K356" s="348">
        <f t="shared" si="159"/>
        <v>4.4711641340197055</v>
      </c>
      <c r="L356" s="349">
        <f t="shared" si="160"/>
        <v>1.3452330564113759</v>
      </c>
      <c r="M356" s="337">
        <f t="shared" si="144"/>
        <v>1.0035277021439168</v>
      </c>
      <c r="N356" s="340">
        <f t="shared" si="145"/>
        <v>8.387326985692789E-2</v>
      </c>
      <c r="O356" s="341">
        <f t="shared" si="146"/>
        <v>0.99981748981037832</v>
      </c>
      <c r="P356" s="342">
        <f t="shared" si="147"/>
        <v>3.472684827205981E-2</v>
      </c>
      <c r="Q356" s="343">
        <f t="shared" si="148"/>
        <v>6.7614641980028001</v>
      </c>
      <c r="R356" s="344">
        <f t="shared" si="149"/>
        <v>-105.85258894860154</v>
      </c>
      <c r="S356" s="346">
        <f t="shared" si="150"/>
        <v>74.147411051398464</v>
      </c>
      <c r="U356" s="319">
        <f t="shared" si="156"/>
        <v>1000000000</v>
      </c>
      <c r="V356" s="319">
        <f t="shared" si="157"/>
        <v>785316552.25</v>
      </c>
      <c r="X356" s="345">
        <f t="shared" si="151"/>
        <v>39.266953068756443</v>
      </c>
      <c r="Y356" s="346">
        <f t="shared" si="152"/>
        <v>-17.714018540077742</v>
      </c>
      <c r="AA356" s="345">
        <f t="shared" si="153"/>
        <v>24.327261287341358</v>
      </c>
      <c r="AB356" s="346">
        <f t="shared" si="154"/>
        <v>-88.13857040852379</v>
      </c>
      <c r="AD356">
        <f t="shared" si="158"/>
        <v>0</v>
      </c>
      <c r="AE356">
        <f t="shared" si="161"/>
        <v>0</v>
      </c>
    </row>
    <row r="357" spans="1:31" x14ac:dyDescent="0.2">
      <c r="A357" s="347">
        <v>28184</v>
      </c>
      <c r="B357" s="364">
        <f t="shared" si="155"/>
        <v>28.184000000000001</v>
      </c>
      <c r="C357" s="337">
        <f t="shared" si="136"/>
        <v>69.646606524148879</v>
      </c>
      <c r="D357" s="338">
        <f t="shared" si="137"/>
        <v>1.5564376320536257</v>
      </c>
      <c r="E357" s="338">
        <f t="shared" si="138"/>
        <v>1.0014101697792872</v>
      </c>
      <c r="F357" s="339">
        <f t="shared" si="139"/>
        <v>5.3075693532135856E-2</v>
      </c>
      <c r="G357" s="338">
        <f t="shared" si="140"/>
        <v>1</v>
      </c>
      <c r="H357" s="339">
        <f t="shared" si="141"/>
        <v>0</v>
      </c>
      <c r="I357" s="337">
        <f t="shared" si="142"/>
        <v>3744.4244143092546</v>
      </c>
      <c r="J357" s="340">
        <f t="shared" si="143"/>
        <v>1.5705292630485794</v>
      </c>
      <c r="K357" s="348">
        <f t="shared" si="159"/>
        <v>4.4954945095113938</v>
      </c>
      <c r="L357" s="349">
        <f t="shared" si="160"/>
        <v>1.3464748005967149</v>
      </c>
      <c r="M357" s="337">
        <f t="shared" si="144"/>
        <v>1.0035681544887722</v>
      </c>
      <c r="N357" s="340">
        <f t="shared" si="145"/>
        <v>8.435137131780153E-2</v>
      </c>
      <c r="O357" s="341">
        <f t="shared" si="146"/>
        <v>0.99981539661934238</v>
      </c>
      <c r="P357" s="342">
        <f t="shared" si="147"/>
        <v>3.4925894428767208E-2</v>
      </c>
      <c r="Q357" s="343">
        <f t="shared" si="148"/>
        <v>6.7092083567695626</v>
      </c>
      <c r="R357" s="344">
        <f t="shared" si="149"/>
        <v>-105.80775327749323</v>
      </c>
      <c r="S357" s="346">
        <f t="shared" si="150"/>
        <v>74.192246722506766</v>
      </c>
      <c r="U357" s="319">
        <f t="shared" si="156"/>
        <v>1000000000</v>
      </c>
      <c r="V357" s="319">
        <f t="shared" si="157"/>
        <v>794337856</v>
      </c>
      <c r="X357" s="345">
        <f t="shared" si="151"/>
        <v>39.264135033082745</v>
      </c>
      <c r="Y357" s="346">
        <f t="shared" si="152"/>
        <v>-17.670352672406423</v>
      </c>
      <c r="AA357" s="345">
        <f t="shared" si="153"/>
        <v>24.27782348178183</v>
      </c>
      <c r="AB357" s="346">
        <f t="shared" si="154"/>
        <v>-88.137400605086796</v>
      </c>
      <c r="AD357">
        <f t="shared" si="158"/>
        <v>0</v>
      </c>
      <c r="AE357">
        <f t="shared" si="161"/>
        <v>0</v>
      </c>
    </row>
    <row r="358" spans="1:31" x14ac:dyDescent="0.2">
      <c r="A358" s="347">
        <v>28348</v>
      </c>
      <c r="B358" s="364">
        <f t="shared" si="155"/>
        <v>28.347999999999999</v>
      </c>
      <c r="C358" s="337">
        <f t="shared" si="136"/>
        <v>70.051790157945561</v>
      </c>
      <c r="D358" s="338">
        <f t="shared" si="137"/>
        <v>1.5565206892388721</v>
      </c>
      <c r="E358" s="338">
        <f t="shared" si="138"/>
        <v>1.0014266170895043</v>
      </c>
      <c r="F358" s="339">
        <f t="shared" si="139"/>
        <v>5.3383951172421278E-2</v>
      </c>
      <c r="G358" s="338">
        <f t="shared" si="140"/>
        <v>1</v>
      </c>
      <c r="H358" s="339">
        <f t="shared" si="141"/>
        <v>0</v>
      </c>
      <c r="I358" s="337">
        <f t="shared" si="142"/>
        <v>3766.2128602457778</v>
      </c>
      <c r="J358" s="340">
        <f t="shared" si="143"/>
        <v>1.5705308080765294</v>
      </c>
      <c r="K358" s="348">
        <f t="shared" si="159"/>
        <v>4.5203625361335753</v>
      </c>
      <c r="L358" s="349">
        <f t="shared" si="160"/>
        <v>1.3477298137996359</v>
      </c>
      <c r="M358" s="337">
        <f t="shared" si="144"/>
        <v>1.0036097259074366</v>
      </c>
      <c r="N358" s="340">
        <f t="shared" si="145"/>
        <v>8.4839858741320121E-2</v>
      </c>
      <c r="O358" s="341">
        <f t="shared" si="146"/>
        <v>0.99981324551460093</v>
      </c>
      <c r="P358" s="342">
        <f t="shared" si="147"/>
        <v>3.512928387797954E-2</v>
      </c>
      <c r="Q358" s="343">
        <f t="shared" si="148"/>
        <v>6.6561443913005736</v>
      </c>
      <c r="R358" s="344">
        <f t="shared" si="149"/>
        <v>-105.76267343039395</v>
      </c>
      <c r="S358" s="346">
        <f t="shared" si="150"/>
        <v>74.237326569606054</v>
      </c>
      <c r="U358" s="319">
        <f t="shared" si="156"/>
        <v>1000000000</v>
      </c>
      <c r="V358" s="319">
        <f t="shared" si="157"/>
        <v>803609104</v>
      </c>
      <c r="X358" s="345">
        <f t="shared" si="151"/>
        <v>39.26129527155873</v>
      </c>
      <c r="Y358" s="346">
        <f t="shared" si="152"/>
        <v>-17.62652250388938</v>
      </c>
      <c r="AA358" s="345">
        <f t="shared" si="153"/>
        <v>24.227599277836845</v>
      </c>
      <c r="AB358" s="346">
        <f t="shared" si="154"/>
        <v>-88.13615092650457</v>
      </c>
      <c r="AD358">
        <f t="shared" si="158"/>
        <v>0</v>
      </c>
      <c r="AE358">
        <f t="shared" si="161"/>
        <v>0</v>
      </c>
    </row>
    <row r="359" spans="1:31" x14ac:dyDescent="0.2">
      <c r="A359" s="347">
        <v>28512</v>
      </c>
      <c r="B359" s="364">
        <f t="shared" si="155"/>
        <v>28.512</v>
      </c>
      <c r="C359" s="337">
        <f t="shared" si="136"/>
        <v>70.456974269436074</v>
      </c>
      <c r="D359" s="338">
        <f t="shared" si="137"/>
        <v>1.5566027911338183</v>
      </c>
      <c r="E359" s="338">
        <f t="shared" si="138"/>
        <v>1.0014431595549242</v>
      </c>
      <c r="F359" s="339">
        <f t="shared" si="139"/>
        <v>5.3692198658010837E-2</v>
      </c>
      <c r="G359" s="338">
        <f t="shared" si="140"/>
        <v>1</v>
      </c>
      <c r="H359" s="339">
        <f t="shared" si="141"/>
        <v>0</v>
      </c>
      <c r="I359" s="337">
        <f t="shared" si="142"/>
        <v>3788.0013061911873</v>
      </c>
      <c r="J359" s="340">
        <f t="shared" si="143"/>
        <v>1.5705323353305904</v>
      </c>
      <c r="K359" s="348">
        <f t="shared" si="159"/>
        <v>4.5452376046746101</v>
      </c>
      <c r="L359" s="349">
        <f t="shared" si="160"/>
        <v>1.3489710921268796</v>
      </c>
      <c r="M359" s="337">
        <f t="shared" si="144"/>
        <v>1.0036515367875445</v>
      </c>
      <c r="N359" s="340">
        <f t="shared" si="145"/>
        <v>8.5328305581821556E-2</v>
      </c>
      <c r="O359" s="341">
        <f t="shared" si="146"/>
        <v>0.99981108201115232</v>
      </c>
      <c r="P359" s="342">
        <f t="shared" si="147"/>
        <v>3.5332676094546302E-2</v>
      </c>
      <c r="Q359" s="343">
        <f t="shared" si="148"/>
        <v>6.603411124645346</v>
      </c>
      <c r="R359" s="344">
        <f t="shared" si="149"/>
        <v>-105.71832319637606</v>
      </c>
      <c r="S359" s="346">
        <f t="shared" si="150"/>
        <v>74.281676803623938</v>
      </c>
      <c r="U359" s="319">
        <f t="shared" si="156"/>
        <v>1000000000</v>
      </c>
      <c r="V359" s="319">
        <f t="shared" si="157"/>
        <v>812934144</v>
      </c>
      <c r="X359" s="345">
        <f t="shared" si="151"/>
        <v>39.258494742847958</v>
      </c>
      <c r="Y359" s="346">
        <f t="shared" si="152"/>
        <v>-17.58347594217723</v>
      </c>
      <c r="AA359" s="345">
        <f t="shared" si="153"/>
        <v>24.177666539892392</v>
      </c>
      <c r="AB359" s="346">
        <f t="shared" si="154"/>
        <v>-88.134847254198803</v>
      </c>
      <c r="AD359">
        <f t="shared" si="158"/>
        <v>0</v>
      </c>
      <c r="AE359">
        <f t="shared" si="161"/>
        <v>0</v>
      </c>
    </row>
    <row r="360" spans="1:31" x14ac:dyDescent="0.2">
      <c r="A360" s="347">
        <v>28676</v>
      </c>
      <c r="B360" s="364">
        <f t="shared" si="155"/>
        <v>28.675999999999998</v>
      </c>
      <c r="C360" s="337">
        <f t="shared" si="136"/>
        <v>70.862158850426169</v>
      </c>
      <c r="D360" s="338">
        <f t="shared" si="137"/>
        <v>1.5566839541241857</v>
      </c>
      <c r="E360" s="338">
        <f t="shared" si="138"/>
        <v>1.0014597971708319</v>
      </c>
      <c r="F360" s="339">
        <f t="shared" si="139"/>
        <v>5.4000435930832001E-2</v>
      </c>
      <c r="G360" s="338">
        <f t="shared" si="140"/>
        <v>1</v>
      </c>
      <c r="H360" s="339">
        <f t="shared" si="141"/>
        <v>0</v>
      </c>
      <c r="I360" s="337">
        <f t="shared" si="142"/>
        <v>3809.7897521453315</v>
      </c>
      <c r="J360" s="340">
        <f t="shared" si="143"/>
        <v>1.5705338451157123</v>
      </c>
      <c r="K360" s="348">
        <f t="shared" si="159"/>
        <v>4.5701196001474331</v>
      </c>
      <c r="L360" s="349">
        <f t="shared" si="160"/>
        <v>1.3501988560602352</v>
      </c>
      <c r="M360" s="337">
        <f t="shared" si="144"/>
        <v>1.0036935870991706</v>
      </c>
      <c r="N360" s="340">
        <f t="shared" si="145"/>
        <v>8.5816711611324578E-2</v>
      </c>
      <c r="O360" s="341">
        <f t="shared" si="146"/>
        <v>0.99980890611042128</v>
      </c>
      <c r="P360" s="342">
        <f t="shared" si="147"/>
        <v>3.553607109446591E-2</v>
      </c>
      <c r="Q360" s="343">
        <f t="shared" si="148"/>
        <v>6.5510043221703018</v>
      </c>
      <c r="R360" s="344">
        <f t="shared" si="149"/>
        <v>-105.67469089025015</v>
      </c>
      <c r="S360" s="346">
        <f t="shared" si="150"/>
        <v>74.325309109749853</v>
      </c>
      <c r="U360" s="319">
        <f t="shared" si="156"/>
        <v>1000000000</v>
      </c>
      <c r="V360" s="319">
        <f t="shared" si="157"/>
        <v>822312976</v>
      </c>
      <c r="X360" s="345">
        <f t="shared" si="151"/>
        <v>39.255732543135416</v>
      </c>
      <c r="Y360" s="346">
        <f t="shared" si="152"/>
        <v>-17.541200359003994</v>
      </c>
      <c r="AA360" s="345">
        <f t="shared" si="153"/>
        <v>24.128021937129894</v>
      </c>
      <c r="AB360" s="346">
        <f t="shared" si="154"/>
        <v>-88.133490531246153</v>
      </c>
      <c r="AD360">
        <f t="shared" si="158"/>
        <v>0</v>
      </c>
      <c r="AE360">
        <f t="shared" si="161"/>
        <v>0</v>
      </c>
    </row>
    <row r="361" spans="1:31" x14ac:dyDescent="0.2">
      <c r="A361" s="347">
        <v>28840</v>
      </c>
      <c r="B361" s="364">
        <f t="shared" si="155"/>
        <v>28.84</v>
      </c>
      <c r="C361" s="337">
        <f t="shared" si="136"/>
        <v>71.267343892907945</v>
      </c>
      <c r="D361" s="338">
        <f t="shared" si="137"/>
        <v>1.5567641942231067</v>
      </c>
      <c r="E361" s="338">
        <f t="shared" si="138"/>
        <v>1.0014765299324848</v>
      </c>
      <c r="F361" s="339">
        <f t="shared" si="139"/>
        <v>5.4308662932823853E-2</v>
      </c>
      <c r="G361" s="338">
        <f t="shared" si="140"/>
        <v>1</v>
      </c>
      <c r="H361" s="339">
        <f t="shared" si="141"/>
        <v>0</v>
      </c>
      <c r="I361" s="337">
        <f t="shared" si="142"/>
        <v>3831.5781981080609</v>
      </c>
      <c r="J361" s="340">
        <f t="shared" si="143"/>
        <v>1.5705353377299087</v>
      </c>
      <c r="K361" s="348">
        <f t="shared" si="159"/>
        <v>4.5950084100239259</v>
      </c>
      <c r="L361" s="349">
        <f t="shared" si="160"/>
        <v>1.3514133214695192</v>
      </c>
      <c r="M361" s="337">
        <f t="shared" si="144"/>
        <v>1.003735876812222</v>
      </c>
      <c r="N361" s="340">
        <f t="shared" si="145"/>
        <v>8.6305076601963862E-2</v>
      </c>
      <c r="O361" s="341">
        <f t="shared" si="146"/>
        <v>0.99980671781384056</v>
      </c>
      <c r="P361" s="342">
        <f t="shared" si="147"/>
        <v>3.5739468893736595E-2</v>
      </c>
      <c r="Q361" s="343">
        <f t="shared" si="148"/>
        <v>6.498919830611678</v>
      </c>
      <c r="R361" s="344">
        <f t="shared" si="149"/>
        <v>-105.63176506933422</v>
      </c>
      <c r="S361" s="346">
        <f t="shared" si="150"/>
        <v>74.368234930665778</v>
      </c>
      <c r="U361" s="319">
        <f t="shared" si="156"/>
        <v>1000000000</v>
      </c>
      <c r="V361" s="319">
        <f t="shared" si="157"/>
        <v>831745600</v>
      </c>
      <c r="X361" s="345">
        <f t="shared" si="151"/>
        <v>39.253007793038385</v>
      </c>
      <c r="Y361" s="346">
        <f t="shared" si="152"/>
        <v>-17.499683389959426</v>
      </c>
      <c r="AA361" s="345">
        <f t="shared" si="153"/>
        <v>24.078662195668301</v>
      </c>
      <c r="AB361" s="346">
        <f t="shared" si="154"/>
        <v>-88.132081679374792</v>
      </c>
      <c r="AD361">
        <f t="shared" si="158"/>
        <v>0</v>
      </c>
      <c r="AE361">
        <f t="shared" si="161"/>
        <v>0</v>
      </c>
    </row>
    <row r="362" spans="1:31" x14ac:dyDescent="0.2">
      <c r="A362" s="347">
        <v>29008</v>
      </c>
      <c r="B362" s="364">
        <f t="shared" si="155"/>
        <v>29.007999999999999</v>
      </c>
      <c r="C362" s="337">
        <f t="shared" si="136"/>
        <v>71.682411967733898</v>
      </c>
      <c r="D362" s="338">
        <f t="shared" si="137"/>
        <v>1.556845450825348</v>
      </c>
      <c r="E362" s="338">
        <f t="shared" si="138"/>
        <v>1.0014937694602777</v>
      </c>
      <c r="F362" s="339">
        <f t="shared" si="139"/>
        <v>5.4624396956245727E-2</v>
      </c>
      <c r="G362" s="338">
        <f t="shared" si="140"/>
        <v>1</v>
      </c>
      <c r="H362" s="339">
        <f t="shared" si="141"/>
        <v>0</v>
      </c>
      <c r="I362" s="337">
        <f t="shared" si="142"/>
        <v>3853.8980695908267</v>
      </c>
      <c r="J362" s="340">
        <f t="shared" si="143"/>
        <v>1.570536849249522</v>
      </c>
      <c r="K362" s="348">
        <f t="shared" si="159"/>
        <v>4.6205112146725202</v>
      </c>
      <c r="L362" s="349">
        <f t="shared" si="160"/>
        <v>1.3526438399008935</v>
      </c>
      <c r="M362" s="337">
        <f t="shared" si="144"/>
        <v>1.0037794461812815</v>
      </c>
      <c r="N362" s="340">
        <f t="shared" si="145"/>
        <v>8.680531014327815E-2</v>
      </c>
      <c r="O362" s="341">
        <f t="shared" si="146"/>
        <v>0.99980446329263584</v>
      </c>
      <c r="P362" s="342">
        <f t="shared" si="147"/>
        <v>3.594783053426262E-2</v>
      </c>
      <c r="Q362" s="343">
        <f t="shared" si="148"/>
        <v>6.4458949261753009</v>
      </c>
      <c r="R362" s="344">
        <f t="shared" si="149"/>
        <v>-105.58851310692644</v>
      </c>
      <c r="S362" s="346">
        <f t="shared" si="150"/>
        <v>74.411486893073558</v>
      </c>
      <c r="U362" s="319">
        <f t="shared" si="156"/>
        <v>1000000000</v>
      </c>
      <c r="V362" s="319">
        <f t="shared" si="157"/>
        <v>841464064</v>
      </c>
      <c r="X362" s="345">
        <f t="shared" si="151"/>
        <v>39.250254522123768</v>
      </c>
      <c r="Y362" s="346">
        <f t="shared" si="152"/>
        <v>-17.457927751563584</v>
      </c>
      <c r="AA362" s="345">
        <f t="shared" si="153"/>
        <v>24.028390562146534</v>
      </c>
      <c r="AB362" s="346">
        <f t="shared" si="154"/>
        <v>-88.130585355362882</v>
      </c>
      <c r="AD362">
        <f t="shared" si="158"/>
        <v>0</v>
      </c>
      <c r="AE362">
        <f t="shared" si="161"/>
        <v>0</v>
      </c>
    </row>
    <row r="363" spans="1:31" x14ac:dyDescent="0.2">
      <c r="A363" s="347">
        <v>29176</v>
      </c>
      <c r="B363" s="364">
        <f t="shared" si="155"/>
        <v>29.175999999999998</v>
      </c>
      <c r="C363" s="337">
        <f t="shared" si="136"/>
        <v>72.097480510403145</v>
      </c>
      <c r="D363" s="338">
        <f t="shared" si="137"/>
        <v>1.5569257718320508</v>
      </c>
      <c r="E363" s="338">
        <f t="shared" si="138"/>
        <v>1.0015111088215123</v>
      </c>
      <c r="F363" s="339">
        <f t="shared" si="139"/>
        <v>5.4940120078408476E-2</v>
      </c>
      <c r="G363" s="338">
        <f t="shared" si="140"/>
        <v>1</v>
      </c>
      <c r="H363" s="339">
        <f t="shared" si="141"/>
        <v>0</v>
      </c>
      <c r="I363" s="337">
        <f t="shared" si="142"/>
        <v>3876.217941082296</v>
      </c>
      <c r="J363" s="340">
        <f t="shared" si="143"/>
        <v>1.5705383433620008</v>
      </c>
      <c r="K363" s="348">
        <f t="shared" si="159"/>
        <v>4.6460209387729634</v>
      </c>
      <c r="L363" s="349">
        <f t="shared" si="160"/>
        <v>1.3538608474400773</v>
      </c>
      <c r="M363" s="337">
        <f t="shared" si="144"/>
        <v>1.0038232667078404</v>
      </c>
      <c r="N363" s="340">
        <f t="shared" si="145"/>
        <v>8.7305500135730754E-2</v>
      </c>
      <c r="O363" s="341">
        <f t="shared" si="146"/>
        <v>0.99980219576660201</v>
      </c>
      <c r="P363" s="342">
        <f t="shared" si="147"/>
        <v>3.6156195146343828E-2</v>
      </c>
      <c r="Q363" s="343">
        <f t="shared" si="148"/>
        <v>6.3931996767742323</v>
      </c>
      <c r="R363" s="344">
        <f t="shared" si="149"/>
        <v>-105.54597895827619</v>
      </c>
      <c r="S363" s="346">
        <f t="shared" si="150"/>
        <v>74.454021041723806</v>
      </c>
      <c r="U363" s="319">
        <f t="shared" si="156"/>
        <v>1000000000</v>
      </c>
      <c r="V363" s="319">
        <f t="shared" si="157"/>
        <v>851238976</v>
      </c>
      <c r="X363" s="345">
        <f t="shared" si="151"/>
        <v>39.247538757047394</v>
      </c>
      <c r="Y363" s="346">
        <f t="shared" si="152"/>
        <v>-17.416942737747291</v>
      </c>
      <c r="AA363" s="345">
        <f t="shared" si="153"/>
        <v>23.978411077821843</v>
      </c>
      <c r="AB363" s="346">
        <f t="shared" si="154"/>
        <v>-88.129036220528931</v>
      </c>
      <c r="AD363">
        <f t="shared" si="158"/>
        <v>0</v>
      </c>
      <c r="AE363">
        <f t="shared" si="161"/>
        <v>0</v>
      </c>
    </row>
    <row r="364" spans="1:31" x14ac:dyDescent="0.2">
      <c r="A364" s="347">
        <v>29344</v>
      </c>
      <c r="B364" s="364">
        <f t="shared" si="155"/>
        <v>29.344000000000001</v>
      </c>
      <c r="C364" s="337">
        <f t="shared" si="136"/>
        <v>72.512549512881776</v>
      </c>
      <c r="D364" s="338">
        <f t="shared" si="137"/>
        <v>1.5570051733084944</v>
      </c>
      <c r="E364" s="338">
        <f t="shared" si="138"/>
        <v>1.001528548011003</v>
      </c>
      <c r="F364" s="339">
        <f t="shared" si="139"/>
        <v>5.5255832236936676E-2</v>
      </c>
      <c r="G364" s="338">
        <f t="shared" si="140"/>
        <v>1</v>
      </c>
      <c r="H364" s="339">
        <f t="shared" si="141"/>
        <v>0</v>
      </c>
      <c r="I364" s="337">
        <f t="shared" si="142"/>
        <v>3898.537812582319</v>
      </c>
      <c r="J364" s="340">
        <f t="shared" si="143"/>
        <v>1.5705398203663228</v>
      </c>
      <c r="K364" s="348">
        <f t="shared" si="159"/>
        <v>4.6715374689707296</v>
      </c>
      <c r="L364" s="349">
        <f t="shared" si="160"/>
        <v>1.3550645618468076</v>
      </c>
      <c r="M364" s="337">
        <f t="shared" si="144"/>
        <v>1.0038673383590084</v>
      </c>
      <c r="N364" s="340">
        <f t="shared" si="145"/>
        <v>8.780564633475596E-2</v>
      </c>
      <c r="O364" s="341">
        <f t="shared" si="146"/>
        <v>0.99979991523730671</v>
      </c>
      <c r="P364" s="342">
        <f t="shared" si="147"/>
        <v>3.6364562747177115E-2</v>
      </c>
      <c r="Q364" s="343">
        <f t="shared" si="148"/>
        <v>6.340829870012767</v>
      </c>
      <c r="R364" s="344">
        <f t="shared" si="149"/>
        <v>-105.50415107481902</v>
      </c>
      <c r="S364" s="346">
        <f t="shared" si="150"/>
        <v>74.495848925180979</v>
      </c>
      <c r="U364" s="319">
        <f t="shared" si="156"/>
        <v>1000000000</v>
      </c>
      <c r="V364" s="319">
        <f t="shared" si="157"/>
        <v>861070336</v>
      </c>
      <c r="X364" s="345">
        <f t="shared" si="151"/>
        <v>39.244859627226241</v>
      </c>
      <c r="Y364" s="346">
        <f t="shared" si="152"/>
        <v>-17.376715874914218</v>
      </c>
      <c r="AA364" s="345">
        <f t="shared" si="153"/>
        <v>23.928720400881534</v>
      </c>
      <c r="AB364" s="346">
        <f t="shared" si="154"/>
        <v>-88.127435199904809</v>
      </c>
      <c r="AD364">
        <f t="shared" si="158"/>
        <v>0</v>
      </c>
      <c r="AE364">
        <f t="shared" si="161"/>
        <v>0</v>
      </c>
    </row>
    <row r="365" spans="1:31" x14ac:dyDescent="0.2">
      <c r="A365" s="347">
        <v>29512</v>
      </c>
      <c r="B365" s="364">
        <f t="shared" si="155"/>
        <v>29.512</v>
      </c>
      <c r="C365" s="337">
        <f t="shared" si="136"/>
        <v>72.927618967318708</v>
      </c>
      <c r="D365" s="338">
        <f t="shared" si="137"/>
        <v>1.5570836709542604</v>
      </c>
      <c r="E365" s="338">
        <f t="shared" si="138"/>
        <v>1.0015460870235353</v>
      </c>
      <c r="F365" s="339">
        <f t="shared" si="139"/>
        <v>5.5571533369468004E-2</v>
      </c>
      <c r="G365" s="338">
        <f t="shared" si="140"/>
        <v>1</v>
      </c>
      <c r="H365" s="339">
        <f t="shared" si="141"/>
        <v>0</v>
      </c>
      <c r="I365" s="337">
        <f t="shared" si="142"/>
        <v>3920.8576840907499</v>
      </c>
      <c r="J365" s="340">
        <f t="shared" si="143"/>
        <v>1.570541280554657</v>
      </c>
      <c r="K365" s="348">
        <f t="shared" si="159"/>
        <v>4.6970606943445432</v>
      </c>
      <c r="L365" s="349">
        <f t="shared" si="160"/>
        <v>1.3562551963036957</v>
      </c>
      <c r="M365" s="337">
        <f t="shared" si="144"/>
        <v>1.0039116611017127</v>
      </c>
      <c r="N365" s="340">
        <f t="shared" si="145"/>
        <v>8.8305748495918587E-2</v>
      </c>
      <c r="O365" s="341">
        <f t="shared" si="146"/>
        <v>0.99979762170632591</v>
      </c>
      <c r="P365" s="342">
        <f t="shared" si="147"/>
        <v>3.6572933353959218E-2</v>
      </c>
      <c r="Q365" s="343">
        <f t="shared" si="148"/>
        <v>6.2887813742942056</v>
      </c>
      <c r="R365" s="344">
        <f t="shared" si="149"/>
        <v>-105.46301814890407</v>
      </c>
      <c r="S365" s="346">
        <f t="shared" si="150"/>
        <v>74.536981851095931</v>
      </c>
      <c r="U365" s="319">
        <f t="shared" si="156"/>
        <v>1000000000</v>
      </c>
      <c r="V365" s="319">
        <f t="shared" si="157"/>
        <v>870958144</v>
      </c>
      <c r="X365" s="345">
        <f t="shared" si="151"/>
        <v>39.242216285687974</v>
      </c>
      <c r="Y365" s="346">
        <f t="shared" si="152"/>
        <v>-17.337234951335397</v>
      </c>
      <c r="AA365" s="345">
        <f t="shared" si="153"/>
        <v>23.879315246701239</v>
      </c>
      <c r="AB365" s="346">
        <f t="shared" si="154"/>
        <v>-88.12578319756868</v>
      </c>
      <c r="AD365">
        <f t="shared" si="158"/>
        <v>0</v>
      </c>
      <c r="AE365">
        <f t="shared" si="161"/>
        <v>0</v>
      </c>
    </row>
    <row r="366" spans="1:31" x14ac:dyDescent="0.2">
      <c r="A366" s="347">
        <v>29684</v>
      </c>
      <c r="B366" s="364">
        <f t="shared" si="155"/>
        <v>29.684000000000001</v>
      </c>
      <c r="C366" s="337">
        <f t="shared" si="136"/>
        <v>73.352571488029909</v>
      </c>
      <c r="D366" s="338">
        <f t="shared" si="137"/>
        <v>1.5571631172456533</v>
      </c>
      <c r="E366" s="338">
        <f t="shared" si="138"/>
        <v>1.0015641470425727</v>
      </c>
      <c r="F366" s="339">
        <f t="shared" si="139"/>
        <v>5.5894739707617082E-2</v>
      </c>
      <c r="G366" s="338">
        <f t="shared" si="140"/>
        <v>1</v>
      </c>
      <c r="H366" s="339">
        <f t="shared" si="141"/>
        <v>0</v>
      </c>
      <c r="I366" s="337">
        <f t="shared" si="142"/>
        <v>3943.7089811198484</v>
      </c>
      <c r="J366" s="340">
        <f t="shared" si="143"/>
        <v>1.5705427583861973</v>
      </c>
      <c r="K366" s="348">
        <f t="shared" si="159"/>
        <v>4.7231984384098666</v>
      </c>
      <c r="L366" s="349">
        <f t="shared" si="160"/>
        <v>1.35746084632723</v>
      </c>
      <c r="M366" s="337">
        <f t="shared" si="144"/>
        <v>1.0039572992433492</v>
      </c>
      <c r="N366" s="340">
        <f t="shared" si="145"/>
        <v>8.8817711973162447E-2</v>
      </c>
      <c r="O366" s="341">
        <f t="shared" si="146"/>
        <v>0.99979526009940334</v>
      </c>
      <c r="P366" s="342">
        <f t="shared" si="147"/>
        <v>3.6786268297777806E-2</v>
      </c>
      <c r="Q366" s="343">
        <f t="shared" si="148"/>
        <v>6.2358222745991512</v>
      </c>
      <c r="R366" s="344">
        <f t="shared" si="149"/>
        <v>-105.42161428096982</v>
      </c>
      <c r="S366" s="346">
        <f t="shared" si="150"/>
        <v>74.57838571903018</v>
      </c>
      <c r="U366" s="319">
        <f t="shared" si="156"/>
        <v>1000000000</v>
      </c>
      <c r="V366" s="319">
        <f t="shared" si="157"/>
        <v>881139856</v>
      </c>
      <c r="X366" s="345">
        <f t="shared" si="151"/>
        <v>39.239546223602744</v>
      </c>
      <c r="Y366" s="346">
        <f t="shared" si="152"/>
        <v>-17.297574313392708</v>
      </c>
      <c r="AA366" s="345">
        <f t="shared" si="153"/>
        <v>23.82902620909141</v>
      </c>
      <c r="AB366" s="346">
        <f t="shared" si="154"/>
        <v>-88.124039967577104</v>
      </c>
      <c r="AD366">
        <f t="shared" si="158"/>
        <v>0</v>
      </c>
      <c r="AE366">
        <f t="shared" si="161"/>
        <v>0</v>
      </c>
    </row>
    <row r="367" spans="1:31" x14ac:dyDescent="0.2">
      <c r="A367" s="347">
        <v>29856</v>
      </c>
      <c r="B367" s="364">
        <f t="shared" si="155"/>
        <v>29.856000000000002</v>
      </c>
      <c r="C367" s="337">
        <f t="shared" si="136"/>
        <v>73.77752446638803</v>
      </c>
      <c r="D367" s="338">
        <f t="shared" si="137"/>
        <v>1.5572416483282401</v>
      </c>
      <c r="E367" s="338">
        <f t="shared" si="138"/>
        <v>1.001582311683562</v>
      </c>
      <c r="F367" s="339">
        <f t="shared" si="139"/>
        <v>5.6217934356222528E-2</v>
      </c>
      <c r="G367" s="338">
        <f t="shared" si="140"/>
        <v>1</v>
      </c>
      <c r="H367" s="339">
        <f t="shared" si="141"/>
        <v>0</v>
      </c>
      <c r="I367" s="337">
        <f t="shared" si="142"/>
        <v>3966.5602781574607</v>
      </c>
      <c r="J367" s="340">
        <f t="shared" si="143"/>
        <v>1.5705442191902046</v>
      </c>
      <c r="K367" s="348">
        <f t="shared" si="159"/>
        <v>4.7493429725038414</v>
      </c>
      <c r="L367" s="349">
        <f t="shared" si="160"/>
        <v>1.3586532241654752</v>
      </c>
      <c r="M367" s="337">
        <f t="shared" si="144"/>
        <v>1.0040032005048589</v>
      </c>
      <c r="N367" s="340">
        <f t="shared" si="145"/>
        <v>8.9329628772432348E-2</v>
      </c>
      <c r="O367" s="341">
        <f t="shared" si="146"/>
        <v>0.99979288486766982</v>
      </c>
      <c r="P367" s="342">
        <f t="shared" si="147"/>
        <v>3.6999606428868854E-2</v>
      </c>
      <c r="Q367" s="343">
        <f t="shared" si="148"/>
        <v>6.1831914548348141</v>
      </c>
      <c r="R367" s="344">
        <f t="shared" si="149"/>
        <v>-105.38091561795851</v>
      </c>
      <c r="S367" s="346">
        <f t="shared" si="150"/>
        <v>74.619084382041493</v>
      </c>
      <c r="U367" s="319">
        <f t="shared" si="156"/>
        <v>1000000000</v>
      </c>
      <c r="V367" s="319">
        <f t="shared" si="157"/>
        <v>891380736</v>
      </c>
      <c r="X367" s="345">
        <f t="shared" si="151"/>
        <v>39.23691195017205</v>
      </c>
      <c r="Y367" s="346">
        <f t="shared" si="152"/>
        <v>-17.258670465596204</v>
      </c>
      <c r="AA367" s="345">
        <f t="shared" si="153"/>
        <v>23.779029662757772</v>
      </c>
      <c r="AB367" s="346">
        <f t="shared" si="154"/>
        <v>-88.122245152362296</v>
      </c>
      <c r="AD367">
        <f t="shared" si="158"/>
        <v>0</v>
      </c>
      <c r="AE367">
        <f t="shared" si="161"/>
        <v>0</v>
      </c>
    </row>
    <row r="368" spans="1:31" x14ac:dyDescent="0.2">
      <c r="A368" s="347">
        <v>30028</v>
      </c>
      <c r="B368" s="364">
        <f t="shared" si="155"/>
        <v>30.027999999999999</v>
      </c>
      <c r="C368" s="337">
        <f t="shared" si="136"/>
        <v>74.202477894530361</v>
      </c>
      <c r="D368" s="338">
        <f t="shared" si="137"/>
        <v>1.5573192799250923</v>
      </c>
      <c r="E368" s="338">
        <f t="shared" si="138"/>
        <v>1.0016005809408111</v>
      </c>
      <c r="F368" s="339">
        <f t="shared" si="139"/>
        <v>5.6541117248403744E-2</v>
      </c>
      <c r="G368" s="338">
        <f t="shared" si="140"/>
        <v>1</v>
      </c>
      <c r="H368" s="339">
        <f t="shared" si="141"/>
        <v>0</v>
      </c>
      <c r="I368" s="337">
        <f t="shared" si="142"/>
        <v>3989.4115752034404</v>
      </c>
      <c r="J368" s="340">
        <f t="shared" si="143"/>
        <v>1.5705456632592796</v>
      </c>
      <c r="K368" s="348">
        <f t="shared" si="159"/>
        <v>4.7754941851057797</v>
      </c>
      <c r="L368" s="349">
        <f t="shared" si="160"/>
        <v>1.3598325444402419</v>
      </c>
      <c r="M368" s="337">
        <f t="shared" si="144"/>
        <v>1.0040493648501552</v>
      </c>
      <c r="N368" s="340">
        <f t="shared" si="145"/>
        <v>8.9841498631843986E-2</v>
      </c>
      <c r="O368" s="341">
        <f t="shared" si="146"/>
        <v>0.99979049601284631</v>
      </c>
      <c r="P368" s="342">
        <f t="shared" si="147"/>
        <v>3.7212947765686143E-2</v>
      </c>
      <c r="Q368" s="343">
        <f t="shared" si="148"/>
        <v>6.1308847311950023</v>
      </c>
      <c r="R368" s="344">
        <f t="shared" si="149"/>
        <v>-105.34091077046101</v>
      </c>
      <c r="S368" s="346">
        <f t="shared" si="150"/>
        <v>74.659089229538992</v>
      </c>
      <c r="U368" s="319">
        <f t="shared" si="156"/>
        <v>1000000000</v>
      </c>
      <c r="V368" s="319">
        <f t="shared" si="157"/>
        <v>901680784</v>
      </c>
      <c r="X368" s="345">
        <f t="shared" si="151"/>
        <v>39.234312628529089</v>
      </c>
      <c r="Y368" s="346">
        <f t="shared" si="152"/>
        <v>-17.220511112781825</v>
      </c>
      <c r="AA368" s="345">
        <f t="shared" si="153"/>
        <v>23.729322260760924</v>
      </c>
      <c r="AB368" s="346">
        <f t="shared" si="154"/>
        <v>-88.120399657679172</v>
      </c>
      <c r="AD368">
        <f t="shared" si="158"/>
        <v>0</v>
      </c>
      <c r="AE368">
        <f t="shared" si="161"/>
        <v>0</v>
      </c>
    </row>
    <row r="369" spans="1:31" x14ac:dyDescent="0.2">
      <c r="A369" s="347">
        <v>30200</v>
      </c>
      <c r="B369" s="364">
        <f t="shared" si="155"/>
        <v>30.2</v>
      </c>
      <c r="C369" s="337">
        <f t="shared" si="136"/>
        <v>74.627431764773206</v>
      </c>
      <c r="D369" s="338">
        <f t="shared" si="137"/>
        <v>1.5573960274011955</v>
      </c>
      <c r="E369" s="338">
        <f t="shared" si="138"/>
        <v>1.0016189548085954</v>
      </c>
      <c r="F369" s="339">
        <f t="shared" si="139"/>
        <v>5.6864288317294787E-2</v>
      </c>
      <c r="G369" s="338">
        <f t="shared" si="140"/>
        <v>1</v>
      </c>
      <c r="H369" s="339">
        <f t="shared" si="141"/>
        <v>0</v>
      </c>
      <c r="I369" s="337">
        <f t="shared" si="142"/>
        <v>4012.2628722576446</v>
      </c>
      <c r="J369" s="340">
        <f t="shared" si="143"/>
        <v>1.5705470908793568</v>
      </c>
      <c r="K369" s="348">
        <f t="shared" si="159"/>
        <v>4.8016519670963111</v>
      </c>
      <c r="L369" s="349">
        <f t="shared" si="160"/>
        <v>1.3609990172436734</v>
      </c>
      <c r="M369" s="337">
        <f t="shared" si="144"/>
        <v>1.0040957922429512</v>
      </c>
      <c r="N369" s="340">
        <f t="shared" si="145"/>
        <v>9.0353321289659463E-2</v>
      </c>
      <c r="O369" s="341">
        <f t="shared" si="146"/>
        <v>0.99978809353666376</v>
      </c>
      <c r="P369" s="342">
        <f t="shared" si="147"/>
        <v>3.742629232668325E-2</v>
      </c>
      <c r="Q369" s="343">
        <f t="shared" si="148"/>
        <v>6.0788979999347479</v>
      </c>
      <c r="R369" s="344">
        <f t="shared" si="149"/>
        <v>-105.30158858770785</v>
      </c>
      <c r="S369" s="346">
        <f t="shared" si="150"/>
        <v>74.698411412292145</v>
      </c>
      <c r="U369" s="319">
        <f t="shared" si="156"/>
        <v>1000000000</v>
      </c>
      <c r="V369" s="319">
        <f t="shared" si="157"/>
        <v>912040000</v>
      </c>
      <c r="X369" s="345">
        <f t="shared" si="151"/>
        <v>39.2317474445626</v>
      </c>
      <c r="Y369" s="346">
        <f t="shared" si="152"/>
        <v>-17.183084218942806</v>
      </c>
      <c r="AA369" s="345">
        <f t="shared" si="153"/>
        <v>23.679900713467159</v>
      </c>
      <c r="AB369" s="346">
        <f t="shared" si="154"/>
        <v>-88.118504368765031</v>
      </c>
      <c r="AD369">
        <f t="shared" si="158"/>
        <v>0</v>
      </c>
      <c r="AE369">
        <f t="shared" si="161"/>
        <v>0</v>
      </c>
    </row>
    <row r="370" spans="1:31" x14ac:dyDescent="0.2">
      <c r="A370" s="347">
        <v>30375.75</v>
      </c>
      <c r="B370" s="364">
        <f t="shared" si="155"/>
        <v>30.37575</v>
      </c>
      <c r="C370" s="337">
        <f t="shared" si="136"/>
        <v>75.061651066503558</v>
      </c>
      <c r="D370" s="338">
        <f t="shared" si="137"/>
        <v>1.5574735505285646</v>
      </c>
      <c r="E370" s="338">
        <f t="shared" si="138"/>
        <v>1.0016378373199653</v>
      </c>
      <c r="F370" s="339">
        <f t="shared" si="139"/>
        <v>5.7194492984730172E-2</v>
      </c>
      <c r="G370" s="338">
        <f t="shared" si="140"/>
        <v>1</v>
      </c>
      <c r="H370" s="339">
        <f t="shared" si="141"/>
        <v>0</v>
      </c>
      <c r="I370" s="337">
        <f t="shared" si="142"/>
        <v>4035.6123807385316</v>
      </c>
      <c r="J370" s="340">
        <f t="shared" si="143"/>
        <v>1.5705485329247504</v>
      </c>
      <c r="K370" s="348">
        <f t="shared" si="159"/>
        <v>4.8283867242704366</v>
      </c>
      <c r="L370" s="349">
        <f t="shared" si="160"/>
        <v>1.3621778651591825</v>
      </c>
      <c r="M370" s="337">
        <f t="shared" si="144"/>
        <v>1.0041435035355069</v>
      </c>
      <c r="N370" s="340">
        <f t="shared" si="145"/>
        <v>9.0876253843058433E-2</v>
      </c>
      <c r="O370" s="341">
        <f t="shared" si="146"/>
        <v>0.99978562461266252</v>
      </c>
      <c r="P370" s="342">
        <f t="shared" si="147"/>
        <v>3.7644291644847935E-2</v>
      </c>
      <c r="Q370" s="343">
        <f t="shared" si="148"/>
        <v>6.0261041822175434</v>
      </c>
      <c r="R370" s="344">
        <f t="shared" si="149"/>
        <v>-105.26210288387183</v>
      </c>
      <c r="S370" s="346">
        <f t="shared" si="150"/>
        <v>74.737897116128167</v>
      </c>
      <c r="U370" s="319">
        <f t="shared" si="156"/>
        <v>1000000000</v>
      </c>
      <c r="V370" s="319">
        <f t="shared" si="157"/>
        <v>922686188.0625</v>
      </c>
      <c r="X370" s="345">
        <f t="shared" si="151"/>
        <v>39.229160771826344</v>
      </c>
      <c r="Y370" s="346">
        <f t="shared" si="152"/>
        <v>-17.145585660048177</v>
      </c>
      <c r="AA370" s="345">
        <f t="shared" si="153"/>
        <v>23.629693568486211</v>
      </c>
      <c r="AB370" s="346">
        <f t="shared" si="154"/>
        <v>-88.116517223823649</v>
      </c>
      <c r="AD370">
        <f t="shared" si="158"/>
        <v>0</v>
      </c>
      <c r="AE370">
        <f t="shared" si="161"/>
        <v>0</v>
      </c>
    </row>
    <row r="371" spans="1:31" x14ac:dyDescent="0.2">
      <c r="A371" s="347">
        <v>30551.5</v>
      </c>
      <c r="B371" s="364">
        <f t="shared" si="155"/>
        <v>30.551500000000001</v>
      </c>
      <c r="C371" s="337">
        <f t="shared" si="136"/>
        <v>75.495870814152894</v>
      </c>
      <c r="D371" s="338">
        <f t="shared" si="137"/>
        <v>1.5575501818970805</v>
      </c>
      <c r="E371" s="338">
        <f t="shared" si="138"/>
        <v>1.0016568290409147</v>
      </c>
      <c r="F371" s="339">
        <f t="shared" si="139"/>
        <v>5.7524685166603251E-2</v>
      </c>
      <c r="G371" s="338">
        <f t="shared" si="140"/>
        <v>1</v>
      </c>
      <c r="H371" s="339">
        <f t="shared" si="141"/>
        <v>0</v>
      </c>
      <c r="I371" s="337">
        <f t="shared" si="142"/>
        <v>4058.961889227714</v>
      </c>
      <c r="J371" s="340">
        <f t="shared" si="143"/>
        <v>1.5705499583791769</v>
      </c>
      <c r="K371" s="348">
        <f t="shared" si="159"/>
        <v>4.8551281174668697</v>
      </c>
      <c r="L371" s="349">
        <f t="shared" si="160"/>
        <v>1.3633437288082439</v>
      </c>
      <c r="M371" s="337">
        <f t="shared" si="144"/>
        <v>1.0041914893934571</v>
      </c>
      <c r="N371" s="340">
        <f t="shared" si="145"/>
        <v>9.1399136562177408E-2</v>
      </c>
      <c r="O371" s="341">
        <f t="shared" si="146"/>
        <v>0.9997831414705588</v>
      </c>
      <c r="P371" s="342">
        <f t="shared" si="147"/>
        <v>3.7862294368267435E-2</v>
      </c>
      <c r="Q371" s="343">
        <f t="shared" si="148"/>
        <v>5.9736360464585969</v>
      </c>
      <c r="R371" s="344">
        <f t="shared" si="149"/>
        <v>-105.22330713427594</v>
      </c>
      <c r="S371" s="346">
        <f t="shared" si="150"/>
        <v>74.776692865724058</v>
      </c>
      <c r="U371" s="319">
        <f t="shared" si="156"/>
        <v>1000000000</v>
      </c>
      <c r="V371" s="319">
        <f t="shared" si="157"/>
        <v>933394152.25</v>
      </c>
      <c r="X371" s="345">
        <f t="shared" si="151"/>
        <v>39.22660809258219</v>
      </c>
      <c r="Y371" s="346">
        <f t="shared" si="152"/>
        <v>-17.108827238935589</v>
      </c>
      <c r="AA371" s="345">
        <f t="shared" si="153"/>
        <v>23.579778111971414</v>
      </c>
      <c r="AB371" s="346">
        <f t="shared" si="154"/>
        <v>-88.114479895340352</v>
      </c>
      <c r="AD371">
        <f t="shared" si="158"/>
        <v>0</v>
      </c>
      <c r="AE371">
        <f t="shared" si="161"/>
        <v>0</v>
      </c>
    </row>
    <row r="372" spans="1:31" x14ac:dyDescent="0.2">
      <c r="A372" s="347">
        <v>30727.25</v>
      </c>
      <c r="B372" s="364">
        <f t="shared" si="155"/>
        <v>30.727250000000002</v>
      </c>
      <c r="C372" s="337">
        <f t="shared" si="136"/>
        <v>75.930091000071045</v>
      </c>
      <c r="D372" s="338">
        <f t="shared" si="137"/>
        <v>1.5576259368048964</v>
      </c>
      <c r="E372" s="338">
        <f t="shared" si="138"/>
        <v>1.0016759299652318</v>
      </c>
      <c r="F372" s="339">
        <f t="shared" si="139"/>
        <v>5.7854864791626617E-2</v>
      </c>
      <c r="G372" s="338">
        <f t="shared" si="140"/>
        <v>1</v>
      </c>
      <c r="H372" s="339">
        <f t="shared" si="141"/>
        <v>0</v>
      </c>
      <c r="I372" s="337">
        <f t="shared" si="142"/>
        <v>4082.3113977250496</v>
      </c>
      <c r="J372" s="340">
        <f t="shared" si="143"/>
        <v>1.5705513675273213</v>
      </c>
      <c r="K372" s="348">
        <f t="shared" si="159"/>
        <v>4.8818760376354344</v>
      </c>
      <c r="L372" s="349">
        <f t="shared" si="160"/>
        <v>1.3644968184185184</v>
      </c>
      <c r="M372" s="337">
        <f t="shared" si="144"/>
        <v>1.0042397497774436</v>
      </c>
      <c r="N372" s="340">
        <f t="shared" si="145"/>
        <v>9.1921969168261841E-2</v>
      </c>
      <c r="O372" s="341">
        <f t="shared" si="146"/>
        <v>0.99978064411223155</v>
      </c>
      <c r="P372" s="342">
        <f t="shared" si="147"/>
        <v>3.8080300516627981E-2</v>
      </c>
      <c r="Q372" s="343">
        <f t="shared" si="148"/>
        <v>5.9214894606418609</v>
      </c>
      <c r="R372" s="344">
        <f t="shared" si="149"/>
        <v>-105.18519017583428</v>
      </c>
      <c r="S372" s="346">
        <f t="shared" si="150"/>
        <v>74.814809824165721</v>
      </c>
      <c r="U372" s="319">
        <f t="shared" si="156"/>
        <v>1000000000</v>
      </c>
      <c r="V372" s="319">
        <f t="shared" si="157"/>
        <v>944163892.5625</v>
      </c>
      <c r="X372" s="345">
        <f t="shared" si="151"/>
        <v>39.224088607261457</v>
      </c>
      <c r="Y372" s="346">
        <f t="shared" si="152"/>
        <v>-17.072796910787151</v>
      </c>
      <c r="AA372" s="345">
        <f t="shared" si="153"/>
        <v>23.530151011475411</v>
      </c>
      <c r="AB372" s="346">
        <f t="shared" si="154"/>
        <v>-88.112393265047118</v>
      </c>
      <c r="AD372">
        <f t="shared" si="158"/>
        <v>0</v>
      </c>
      <c r="AE372">
        <f t="shared" si="161"/>
        <v>0</v>
      </c>
    </row>
    <row r="373" spans="1:31" x14ac:dyDescent="0.2">
      <c r="A373" s="347">
        <v>30903</v>
      </c>
      <c r="B373" s="364">
        <f t="shared" si="155"/>
        <v>30.902999999999999</v>
      </c>
      <c r="C373" s="337">
        <f t="shared" si="136"/>
        <v>76.364311616781791</v>
      </c>
      <c r="D373" s="338">
        <f t="shared" si="137"/>
        <v>1.5577008302022544</v>
      </c>
      <c r="E373" s="338">
        <f t="shared" si="138"/>
        <v>1.0016951400866696</v>
      </c>
      <c r="F373" s="339">
        <f t="shared" si="139"/>
        <v>5.818503178852924E-2</v>
      </c>
      <c r="G373" s="338">
        <f t="shared" si="140"/>
        <v>1</v>
      </c>
      <c r="H373" s="339">
        <f t="shared" si="141"/>
        <v>0</v>
      </c>
      <c r="I373" s="337">
        <f t="shared" si="142"/>
        <v>4105.6609062303987</v>
      </c>
      <c r="J373" s="340">
        <f t="shared" si="143"/>
        <v>1.5705527606473928</v>
      </c>
      <c r="K373" s="348">
        <f t="shared" si="159"/>
        <v>4.9086303780765519</v>
      </c>
      <c r="L373" s="349">
        <f t="shared" si="160"/>
        <v>1.3656373397718697</v>
      </c>
      <c r="M373" s="337">
        <f t="shared" si="144"/>
        <v>1.0042882846478893</v>
      </c>
      <c r="N373" s="340">
        <f t="shared" si="145"/>
        <v>9.2444751382720167E-2</v>
      </c>
      <c r="O373" s="341">
        <f t="shared" si="146"/>
        <v>0.99977813253957071</v>
      </c>
      <c r="P373" s="342">
        <f t="shared" si="147"/>
        <v>3.8298310109615506E-2</v>
      </c>
      <c r="Q373" s="343">
        <f t="shared" si="148"/>
        <v>5.8696603714826221</v>
      </c>
      <c r="R373" s="344">
        <f t="shared" si="149"/>
        <v>-105.14774107988985</v>
      </c>
      <c r="S373" s="346">
        <f t="shared" si="150"/>
        <v>74.852258920110145</v>
      </c>
      <c r="U373" s="319">
        <f t="shared" si="156"/>
        <v>1000000000</v>
      </c>
      <c r="V373" s="319">
        <f t="shared" si="157"/>
        <v>954995409</v>
      </c>
      <c r="X373" s="345">
        <f t="shared" si="151"/>
        <v>39.221601538050137</v>
      </c>
      <c r="Y373" s="346">
        <f t="shared" si="152"/>
        <v>-17.037482885148648</v>
      </c>
      <c r="AA373" s="345">
        <f t="shared" si="153"/>
        <v>23.480808991527496</v>
      </c>
      <c r="AB373" s="346">
        <f t="shared" si="154"/>
        <v>-88.11025819474122</v>
      </c>
      <c r="AD373">
        <f t="shared" si="158"/>
        <v>0</v>
      </c>
      <c r="AE373">
        <f t="shared" si="161"/>
        <v>0</v>
      </c>
    </row>
    <row r="374" spans="1:31" x14ac:dyDescent="0.2">
      <c r="A374" s="347">
        <v>31083</v>
      </c>
      <c r="B374" s="364">
        <f t="shared" si="155"/>
        <v>31.082999999999998</v>
      </c>
      <c r="C374" s="337">
        <f t="shared" si="136"/>
        <v>76.809033028710317</v>
      </c>
      <c r="D374" s="338">
        <f t="shared" si="137"/>
        <v>1.5577766569319502</v>
      </c>
      <c r="E374" s="338">
        <f t="shared" si="138"/>
        <v>1.0017149279321431</v>
      </c>
      <c r="F374" s="339">
        <f t="shared" si="139"/>
        <v>5.8523169744782687E-2</v>
      </c>
      <c r="G374" s="338">
        <f t="shared" si="140"/>
        <v>1</v>
      </c>
      <c r="H374" s="339">
        <f t="shared" si="141"/>
        <v>0</v>
      </c>
      <c r="I374" s="337">
        <f t="shared" si="142"/>
        <v>4129.5750543521508</v>
      </c>
      <c r="J374" s="340">
        <f t="shared" si="143"/>
        <v>1.5705541711259448</v>
      </c>
      <c r="K374" s="348">
        <f t="shared" si="159"/>
        <v>4.9360382399789779</v>
      </c>
      <c r="L374" s="349">
        <f t="shared" si="160"/>
        <v>1.3667926239523456</v>
      </c>
      <c r="M374" s="337">
        <f t="shared" si="144"/>
        <v>1.004338277673912</v>
      </c>
      <c r="N374" s="340">
        <f t="shared" si="145"/>
        <v>9.2980123031690273E-2</v>
      </c>
      <c r="O374" s="341">
        <f t="shared" si="146"/>
        <v>0.99977554549976522</v>
      </c>
      <c r="P374" s="342">
        <f t="shared" si="147"/>
        <v>3.8521595218478186E-2</v>
      </c>
      <c r="Q374" s="343">
        <f t="shared" si="148"/>
        <v>5.8169028986894453</v>
      </c>
      <c r="R374" s="344">
        <f t="shared" si="149"/>
        <v>-105.11006749075771</v>
      </c>
      <c r="S374" s="346">
        <f t="shared" si="150"/>
        <v>74.889932509242286</v>
      </c>
      <c r="U374" s="319">
        <f t="shared" si="156"/>
        <v>1000000000</v>
      </c>
      <c r="V374" s="319">
        <f t="shared" si="157"/>
        <v>966152889</v>
      </c>
      <c r="X374" s="345">
        <f t="shared" si="151"/>
        <v>39.219087137135908</v>
      </c>
      <c r="Y374" s="346">
        <f t="shared" si="152"/>
        <v>-17.002045327853722</v>
      </c>
      <c r="AA374" s="345">
        <f t="shared" si="153"/>
        <v>23.430565919648544</v>
      </c>
      <c r="AB374" s="346">
        <f t="shared" si="154"/>
        <v>-88.10802216290395</v>
      </c>
      <c r="AD374">
        <f t="shared" si="158"/>
        <v>0</v>
      </c>
      <c r="AE374">
        <f t="shared" si="161"/>
        <v>0</v>
      </c>
    </row>
    <row r="375" spans="1:31" x14ac:dyDescent="0.2">
      <c r="A375" s="347">
        <v>31263</v>
      </c>
      <c r="B375" s="364">
        <f t="shared" si="155"/>
        <v>31.263000000000002</v>
      </c>
      <c r="C375" s="337">
        <f t="shared" si="136"/>
        <v>77.253754877182615</v>
      </c>
      <c r="D375" s="338">
        <f t="shared" si="137"/>
        <v>1.5578516106481086</v>
      </c>
      <c r="E375" s="338">
        <f t="shared" si="138"/>
        <v>1.0017348303064417</v>
      </c>
      <c r="F375" s="339">
        <f t="shared" si="139"/>
        <v>5.8861294303508269E-2</v>
      </c>
      <c r="G375" s="338">
        <f t="shared" si="140"/>
        <v>1</v>
      </c>
      <c r="H375" s="339">
        <f t="shared" si="141"/>
        <v>0</v>
      </c>
      <c r="I375" s="337">
        <f t="shared" si="142"/>
        <v>4153.4892024820247</v>
      </c>
      <c r="J375" s="340">
        <f t="shared" si="143"/>
        <v>1.5705555653625416</v>
      </c>
      <c r="K375" s="348">
        <f t="shared" si="159"/>
        <v>4.9634526171579703</v>
      </c>
      <c r="L375" s="349">
        <f t="shared" si="160"/>
        <v>1.3679351478028359</v>
      </c>
      <c r="M375" s="337">
        <f t="shared" si="144"/>
        <v>1.0043885585374814</v>
      </c>
      <c r="N375" s="340">
        <f t="shared" si="145"/>
        <v>9.3515441231422733E-2</v>
      </c>
      <c r="O375" s="341">
        <f t="shared" si="146"/>
        <v>0.99977294355389734</v>
      </c>
      <c r="P375" s="342">
        <f t="shared" si="147"/>
        <v>3.8744883982376133E-2</v>
      </c>
      <c r="Q375" s="343">
        <f t="shared" si="148"/>
        <v>5.7644701020558902</v>
      </c>
      <c r="R375" s="344">
        <f t="shared" si="149"/>
        <v>-105.07307197871717</v>
      </c>
      <c r="S375" s="346">
        <f t="shared" si="150"/>
        <v>74.926928021282833</v>
      </c>
      <c r="U375" s="319">
        <f t="shared" si="156"/>
        <v>1000000000</v>
      </c>
      <c r="V375" s="319">
        <f t="shared" si="157"/>
        <v>977375169</v>
      </c>
      <c r="X375" s="345">
        <f t="shared" si="151"/>
        <v>39.216605154500662</v>
      </c>
      <c r="Y375" s="346">
        <f t="shared" si="152"/>
        <v>-16.967334890601784</v>
      </c>
      <c r="AA375" s="345">
        <f t="shared" si="153"/>
        <v>23.380615105650232</v>
      </c>
      <c r="AB375" s="346">
        <f t="shared" si="154"/>
        <v>-88.10573708811539</v>
      </c>
      <c r="AD375">
        <f t="shared" si="158"/>
        <v>0</v>
      </c>
      <c r="AE375">
        <f t="shared" si="161"/>
        <v>0</v>
      </c>
    </row>
    <row r="376" spans="1:31" x14ac:dyDescent="0.2">
      <c r="A376" s="347">
        <v>31443</v>
      </c>
      <c r="B376" s="364">
        <f t="shared" si="155"/>
        <v>31.443000000000001</v>
      </c>
      <c r="C376" s="337">
        <f t="shared" si="136"/>
        <v>77.698477154702758</v>
      </c>
      <c r="D376" s="338">
        <f t="shared" si="137"/>
        <v>1.5579257063404663</v>
      </c>
      <c r="E376" s="338">
        <f t="shared" si="138"/>
        <v>1.0017548472027393</v>
      </c>
      <c r="F376" s="339">
        <f t="shared" si="139"/>
        <v>5.9199405388192454E-2</v>
      </c>
      <c r="G376" s="338">
        <f t="shared" si="140"/>
        <v>1</v>
      </c>
      <c r="H376" s="339">
        <f t="shared" si="141"/>
        <v>0</v>
      </c>
      <c r="I376" s="337">
        <f t="shared" si="142"/>
        <v>4177.4033506198793</v>
      </c>
      <c r="J376" s="340">
        <f t="shared" si="143"/>
        <v>1.5705569436361211</v>
      </c>
      <c r="K376" s="348">
        <f t="shared" si="159"/>
        <v>4.9908734022502079</v>
      </c>
      <c r="L376" s="349">
        <f t="shared" si="160"/>
        <v>1.3690651186385523</v>
      </c>
      <c r="M376" s="337">
        <f t="shared" si="144"/>
        <v>1.0044391271953717</v>
      </c>
      <c r="N376" s="340">
        <f t="shared" si="145"/>
        <v>9.4050705683159971E-2</v>
      </c>
      <c r="O376" s="341">
        <f t="shared" si="146"/>
        <v>0.99977032670403276</v>
      </c>
      <c r="P376" s="342">
        <f t="shared" si="147"/>
        <v>3.8968176422457305E-2</v>
      </c>
      <c r="Q376" s="343">
        <f t="shared" si="148"/>
        <v>5.7123578710433867</v>
      </c>
      <c r="R376" s="344">
        <f t="shared" si="149"/>
        <v>-105.03674352879032</v>
      </c>
      <c r="S376" s="346">
        <f t="shared" si="150"/>
        <v>74.963256471209675</v>
      </c>
      <c r="U376" s="319">
        <f t="shared" si="156"/>
        <v>1000000000</v>
      </c>
      <c r="V376" s="319">
        <f t="shared" si="157"/>
        <v>988662249</v>
      </c>
      <c r="X376" s="345">
        <f t="shared" si="151"/>
        <v>39.214154820987048</v>
      </c>
      <c r="Y376" s="346">
        <f t="shared" si="152"/>
        <v>-16.933339693970559</v>
      </c>
      <c r="AA376" s="345">
        <f t="shared" si="153"/>
        <v>23.330953208151342</v>
      </c>
      <c r="AB376" s="346">
        <f t="shared" si="154"/>
        <v>-88.103403834819758</v>
      </c>
      <c r="AD376">
        <f t="shared" si="158"/>
        <v>0</v>
      </c>
      <c r="AE376">
        <f t="shared" si="161"/>
        <v>0</v>
      </c>
    </row>
    <row r="377" spans="1:31" x14ac:dyDescent="0.2">
      <c r="A377" s="347">
        <v>31623</v>
      </c>
      <c r="B377" s="364">
        <f t="shared" si="155"/>
        <v>31.623000000000001</v>
      </c>
      <c r="C377" s="337">
        <f t="shared" si="136"/>
        <v>78.143199853945461</v>
      </c>
      <c r="D377" s="338">
        <f t="shared" si="137"/>
        <v>1.5579989586575642</v>
      </c>
      <c r="E377" s="338">
        <f t="shared" si="138"/>
        <v>1.001774978614171</v>
      </c>
      <c r="F377" s="339">
        <f t="shared" si="139"/>
        <v>5.9537502922340169E-2</v>
      </c>
      <c r="G377" s="338">
        <f t="shared" si="140"/>
        <v>1</v>
      </c>
      <c r="H377" s="339">
        <f t="shared" si="141"/>
        <v>0</v>
      </c>
      <c r="I377" s="337">
        <f t="shared" si="142"/>
        <v>4201.3174987655793</v>
      </c>
      <c r="J377" s="340">
        <f t="shared" si="143"/>
        <v>1.5705583062192709</v>
      </c>
      <c r="K377" s="348">
        <f t="shared" si="159"/>
        <v>5.0183004902141475</v>
      </c>
      <c r="L377" s="349">
        <f t="shared" si="160"/>
        <v>1.3701827393722725</v>
      </c>
      <c r="M377" s="337">
        <f t="shared" si="144"/>
        <v>1.0044899836041175</v>
      </c>
      <c r="N377" s="340">
        <f t="shared" si="145"/>
        <v>9.4585916088327546E-2</v>
      </c>
      <c r="O377" s="341">
        <f t="shared" si="146"/>
        <v>0.99976769495224915</v>
      </c>
      <c r="P377" s="342">
        <f t="shared" si="147"/>
        <v>3.9191472559869343E-2</v>
      </c>
      <c r="Q377" s="343">
        <f t="shared" si="148"/>
        <v>5.6605621732806952</v>
      </c>
      <c r="R377" s="344">
        <f t="shared" si="149"/>
        <v>-105.00107135833646</v>
      </c>
      <c r="S377" s="346">
        <f t="shared" si="150"/>
        <v>74.998928641663539</v>
      </c>
      <c r="U377" s="319">
        <f t="shared" si="156"/>
        <v>1000000000</v>
      </c>
      <c r="V377" s="319">
        <f t="shared" si="157"/>
        <v>1000014129</v>
      </c>
      <c r="X377" s="345">
        <f t="shared" si="151"/>
        <v>39.211735388424692</v>
      </c>
      <c r="Y377" s="346">
        <f t="shared" si="152"/>
        <v>-16.900048110425352</v>
      </c>
      <c r="AA377" s="345">
        <f t="shared" si="153"/>
        <v>23.281576942951009</v>
      </c>
      <c r="AB377" s="346">
        <f t="shared" si="154"/>
        <v>-88.101023247911144</v>
      </c>
      <c r="AD377">
        <f t="shared" si="158"/>
        <v>0</v>
      </c>
      <c r="AE377">
        <f t="shared" si="161"/>
        <v>0</v>
      </c>
    </row>
    <row r="378" spans="1:31" x14ac:dyDescent="0.2">
      <c r="A378" s="347">
        <v>31807</v>
      </c>
      <c r="B378" s="364">
        <f t="shared" si="155"/>
        <v>31.806999999999999</v>
      </c>
      <c r="C378" s="337">
        <f t="shared" si="136"/>
        <v>78.597805708268339</v>
      </c>
      <c r="D378" s="338">
        <f t="shared" si="137"/>
        <v>1.5580729820134263</v>
      </c>
      <c r="E378" s="338">
        <f t="shared" si="138"/>
        <v>1.001795675743693</v>
      </c>
      <c r="F378" s="339">
        <f t="shared" si="139"/>
        <v>5.9883099649827569E-2</v>
      </c>
      <c r="G378" s="338">
        <f t="shared" si="140"/>
        <v>1</v>
      </c>
      <c r="H378" s="339">
        <f t="shared" si="141"/>
        <v>0</v>
      </c>
      <c r="I378" s="337">
        <f t="shared" si="142"/>
        <v>4225.7630724335986</v>
      </c>
      <c r="J378" s="340">
        <f t="shared" si="143"/>
        <v>1.5705596831420954</v>
      </c>
      <c r="K378" s="348">
        <f t="shared" si="159"/>
        <v>5.0463434765383433</v>
      </c>
      <c r="L378" s="349">
        <f t="shared" si="160"/>
        <v>1.3713126380919405</v>
      </c>
      <c r="M378" s="337">
        <f t="shared" si="144"/>
        <v>1.0045422675233731</v>
      </c>
      <c r="N378" s="340">
        <f t="shared" si="145"/>
        <v>9.5132963885893845E-2</v>
      </c>
      <c r="O378" s="341">
        <f t="shared" si="146"/>
        <v>0.99976498931693936</v>
      </c>
      <c r="P378" s="342">
        <f t="shared" si="147"/>
        <v>3.941973467717582E-2</v>
      </c>
      <c r="Q378" s="343">
        <f t="shared" si="148"/>
        <v>5.6079385036408027</v>
      </c>
      <c r="R378" s="344">
        <f t="shared" si="149"/>
        <v>-104.96527380016249</v>
      </c>
      <c r="S378" s="346">
        <f t="shared" si="150"/>
        <v>75.034726199837507</v>
      </c>
      <c r="U378" s="319">
        <f t="shared" si="156"/>
        <v>1000000000</v>
      </c>
      <c r="V378" s="319">
        <f t="shared" si="157"/>
        <v>1011685249</v>
      </c>
      <c r="X378" s="345">
        <f t="shared" si="151"/>
        <v>39.209293371545691</v>
      </c>
      <c r="Y378" s="346">
        <f t="shared" si="152"/>
        <v>-16.866732104332097</v>
      </c>
      <c r="AA378" s="345">
        <f t="shared" si="153"/>
        <v>23.231395290190122</v>
      </c>
      <c r="AB378" s="346">
        <f t="shared" si="154"/>
        <v>-88.09854169583042</v>
      </c>
      <c r="AD378">
        <f t="shared" si="158"/>
        <v>0</v>
      </c>
      <c r="AE378">
        <f t="shared" si="161"/>
        <v>0</v>
      </c>
    </row>
    <row r="379" spans="1:31" x14ac:dyDescent="0.2">
      <c r="A379" s="347">
        <v>31991</v>
      </c>
      <c r="B379" s="364">
        <f t="shared" si="155"/>
        <v>31.991</v>
      </c>
      <c r="C379" s="337">
        <f t="shared" si="136"/>
        <v>79.052411988311178</v>
      </c>
      <c r="D379" s="338">
        <f t="shared" si="137"/>
        <v>1.5581461539982573</v>
      </c>
      <c r="E379" s="338">
        <f t="shared" si="138"/>
        <v>1.001816492519831</v>
      </c>
      <c r="F379" s="339">
        <f t="shared" si="139"/>
        <v>6.0228682056258559E-2</v>
      </c>
      <c r="G379" s="338">
        <f t="shared" si="140"/>
        <v>1</v>
      </c>
      <c r="H379" s="339">
        <f t="shared" si="141"/>
        <v>0</v>
      </c>
      <c r="I379" s="337">
        <f t="shared" si="142"/>
        <v>4250.2086461095369</v>
      </c>
      <c r="J379" s="340">
        <f t="shared" si="143"/>
        <v>1.5705610442258535</v>
      </c>
      <c r="K379" s="348">
        <f t="shared" si="159"/>
        <v>5.0743928341711886</v>
      </c>
      <c r="L379" s="349">
        <f t="shared" si="160"/>
        <v>1.3724300469046942</v>
      </c>
      <c r="M379" s="337">
        <f t="shared" si="144"/>
        <v>1.0045948520319024</v>
      </c>
      <c r="N379" s="340">
        <f t="shared" si="145"/>
        <v>9.5679954577803997E-2</v>
      </c>
      <c r="O379" s="341">
        <f t="shared" si="146"/>
        <v>0.99976226811447266</v>
      </c>
      <c r="P379" s="342">
        <f t="shared" si="147"/>
        <v>3.9648000702650808E-2</v>
      </c>
      <c r="Q379" s="343">
        <f t="shared" si="148"/>
        <v>5.5556373124075282</v>
      </c>
      <c r="R379" s="344">
        <f t="shared" si="149"/>
        <v>-104.93013994600805</v>
      </c>
      <c r="S379" s="346">
        <f t="shared" si="150"/>
        <v>75.069860053991945</v>
      </c>
      <c r="U379" s="319">
        <f t="shared" si="156"/>
        <v>1000000000</v>
      </c>
      <c r="V379" s="319">
        <f t="shared" si="157"/>
        <v>1023424081</v>
      </c>
      <c r="X379" s="345">
        <f t="shared" si="151"/>
        <v>39.206882127509608</v>
      </c>
      <c r="Y379" s="346">
        <f t="shared" si="152"/>
        <v>-16.834127537767632</v>
      </c>
      <c r="AA379" s="345">
        <f t="shared" si="153"/>
        <v>23.181505342992928</v>
      </c>
      <c r="AB379" s="346">
        <f t="shared" si="154"/>
        <v>-88.096012408240412</v>
      </c>
      <c r="AD379">
        <f t="shared" si="158"/>
        <v>0</v>
      </c>
      <c r="AE379">
        <f t="shared" si="161"/>
        <v>0</v>
      </c>
    </row>
    <row r="380" spans="1:31" x14ac:dyDescent="0.2">
      <c r="A380" s="347">
        <v>32175</v>
      </c>
      <c r="B380" s="364">
        <f t="shared" si="155"/>
        <v>32.174999999999997</v>
      </c>
      <c r="C380" s="337">
        <f t="shared" si="136"/>
        <v>79.507018686771445</v>
      </c>
      <c r="D380" s="338">
        <f t="shared" si="137"/>
        <v>1.5582184892152222</v>
      </c>
      <c r="E380" s="338">
        <f t="shared" si="138"/>
        <v>1.0018374289351268</v>
      </c>
      <c r="F380" s="339">
        <f t="shared" si="139"/>
        <v>6.0574250059984541E-2</v>
      </c>
      <c r="G380" s="338">
        <f t="shared" si="140"/>
        <v>1</v>
      </c>
      <c r="H380" s="339">
        <f t="shared" si="141"/>
        <v>0</v>
      </c>
      <c r="I380" s="337">
        <f t="shared" si="142"/>
        <v>4274.6542197932577</v>
      </c>
      <c r="J380" s="340">
        <f t="shared" si="143"/>
        <v>1.5705623897422829</v>
      </c>
      <c r="K380" s="348">
        <f t="shared" si="159"/>
        <v>5.1024484580389435</v>
      </c>
      <c r="L380" s="349">
        <f t="shared" si="160"/>
        <v>1.3735351690227466</v>
      </c>
      <c r="M380" s="337">
        <f t="shared" si="144"/>
        <v>1.004647737082506</v>
      </c>
      <c r="N380" s="340">
        <f t="shared" si="145"/>
        <v>9.6226887845732842E-2</v>
      </c>
      <c r="O380" s="341">
        <f t="shared" si="146"/>
        <v>0.99975953134710704</v>
      </c>
      <c r="P380" s="342">
        <f t="shared" si="147"/>
        <v>3.9876270658882315E-2</v>
      </c>
      <c r="Q380" s="343">
        <f t="shared" si="148"/>
        <v>5.5036545329895166</v>
      </c>
      <c r="R380" s="344">
        <f t="shared" si="149"/>
        <v>-104.89565899267365</v>
      </c>
      <c r="S380" s="346">
        <f t="shared" si="150"/>
        <v>75.104341007326354</v>
      </c>
      <c r="U380" s="319">
        <f t="shared" si="156"/>
        <v>1000000000</v>
      </c>
      <c r="V380" s="319">
        <f t="shared" si="157"/>
        <v>1035230625</v>
      </c>
      <c r="X380" s="345">
        <f t="shared" si="151"/>
        <v>39.204500920827499</v>
      </c>
      <c r="Y380" s="346">
        <f t="shared" si="152"/>
        <v>-16.802222764860502</v>
      </c>
      <c r="AA380" s="345">
        <f t="shared" si="153"/>
        <v>23.131903770257026</v>
      </c>
      <c r="AB380" s="346">
        <f t="shared" si="154"/>
        <v>-88.093436227813157</v>
      </c>
      <c r="AD380">
        <f t="shared" si="158"/>
        <v>0</v>
      </c>
      <c r="AE380">
        <f t="shared" si="161"/>
        <v>0</v>
      </c>
    </row>
    <row r="381" spans="1:31" x14ac:dyDescent="0.2">
      <c r="A381" s="347">
        <v>32359</v>
      </c>
      <c r="B381" s="364">
        <f t="shared" si="155"/>
        <v>32.359000000000002</v>
      </c>
      <c r="C381" s="337">
        <f t="shared" si="136"/>
        <v>79.961625796512621</v>
      </c>
      <c r="D381" s="338">
        <f t="shared" si="137"/>
        <v>1.5582900019354262</v>
      </c>
      <c r="E381" s="338">
        <f t="shared" si="138"/>
        <v>1.0018584849820802</v>
      </c>
      <c r="F381" s="339">
        <f t="shared" si="139"/>
        <v>6.0919803579377513E-2</v>
      </c>
      <c r="G381" s="338">
        <f t="shared" si="140"/>
        <v>1</v>
      </c>
      <c r="H381" s="339">
        <f t="shared" si="141"/>
        <v>0</v>
      </c>
      <c r="I381" s="337">
        <f t="shared" si="142"/>
        <v>4299.0997934846309</v>
      </c>
      <c r="J381" s="340">
        <f t="shared" si="143"/>
        <v>1.5705637199569411</v>
      </c>
      <c r="K381" s="348">
        <f t="shared" si="159"/>
        <v>5.1305102453429869</v>
      </c>
      <c r="L381" s="349">
        <f t="shared" si="160"/>
        <v>1.3746282033339023</v>
      </c>
      <c r="M381" s="337">
        <f t="shared" si="144"/>
        <v>1.0047009226277241</v>
      </c>
      <c r="N381" s="340">
        <f t="shared" si="145"/>
        <v>9.6773763371559449E-2</v>
      </c>
      <c r="O381" s="341">
        <f t="shared" si="146"/>
        <v>0.99975677901711368</v>
      </c>
      <c r="P381" s="342">
        <f t="shared" si="147"/>
        <v>4.0104544568457974E-2</v>
      </c>
      <c r="Q381" s="343">
        <f t="shared" si="148"/>
        <v>5.4519861758289823</v>
      </c>
      <c r="R381" s="344">
        <f t="shared" si="149"/>
        <v>-104.86182036536114</v>
      </c>
      <c r="S381" s="346">
        <f t="shared" si="150"/>
        <v>75.13817963463886</v>
      </c>
      <c r="U381" s="319">
        <f t="shared" si="156"/>
        <v>1000000000</v>
      </c>
      <c r="V381" s="319">
        <f t="shared" si="157"/>
        <v>1047104881</v>
      </c>
      <c r="X381" s="345">
        <f t="shared" si="151"/>
        <v>39.202149036096863</v>
      </c>
      <c r="Y381" s="346">
        <f t="shared" si="152"/>
        <v>-16.771006387167247</v>
      </c>
      <c r="AA381" s="345">
        <f t="shared" si="153"/>
        <v>23.082587297827125</v>
      </c>
      <c r="AB381" s="346">
        <f t="shared" si="154"/>
        <v>-88.090813978193893</v>
      </c>
      <c r="AD381">
        <f t="shared" si="158"/>
        <v>0</v>
      </c>
      <c r="AE381">
        <f t="shared" si="161"/>
        <v>0</v>
      </c>
    </row>
    <row r="382" spans="1:31" x14ac:dyDescent="0.2">
      <c r="A382" s="347">
        <v>32547.5</v>
      </c>
      <c r="B382" s="364">
        <f t="shared" si="155"/>
        <v>32.547499999999999</v>
      </c>
      <c r="C382" s="337">
        <f t="shared" si="136"/>
        <v>80.427351434116559</v>
      </c>
      <c r="D382" s="338">
        <f t="shared" si="137"/>
        <v>1.558362425272372</v>
      </c>
      <c r="E382" s="338">
        <f t="shared" si="138"/>
        <v>1.0018801800349133</v>
      </c>
      <c r="F382" s="339">
        <f t="shared" si="139"/>
        <v>6.1273793030594999E-2</v>
      </c>
      <c r="G382" s="338">
        <f t="shared" si="140"/>
        <v>1</v>
      </c>
      <c r="H382" s="339">
        <f t="shared" si="141"/>
        <v>0</v>
      </c>
      <c r="I382" s="337">
        <f t="shared" si="142"/>
        <v>4324.1432208882106</v>
      </c>
      <c r="J382" s="340">
        <f t="shared" si="143"/>
        <v>1.5705650671076405</v>
      </c>
      <c r="K382" s="348">
        <f t="shared" si="159"/>
        <v>5.1592646126015449</v>
      </c>
      <c r="L382" s="349">
        <f t="shared" si="160"/>
        <v>1.3757356380974137</v>
      </c>
      <c r="M382" s="337">
        <f t="shared" si="144"/>
        <v>1.0047557204645565</v>
      </c>
      <c r="N382" s="340">
        <f t="shared" si="145"/>
        <v>9.7333953360585382E-2</v>
      </c>
      <c r="O382" s="341">
        <f t="shared" si="146"/>
        <v>0.99975394323889644</v>
      </c>
      <c r="P382" s="342">
        <f t="shared" si="147"/>
        <v>4.033840538703326E-2</v>
      </c>
      <c r="Q382" s="343">
        <f t="shared" si="148"/>
        <v>5.3993761493116343</v>
      </c>
      <c r="R382" s="344">
        <f t="shared" si="149"/>
        <v>-104.82780942332928</v>
      </c>
      <c r="S382" s="346">
        <f t="shared" si="150"/>
        <v>75.172190576670715</v>
      </c>
      <c r="U382" s="319">
        <f t="shared" si="156"/>
        <v>1000000000</v>
      </c>
      <c r="V382" s="319">
        <f t="shared" si="157"/>
        <v>1059339756.25</v>
      </c>
      <c r="X382" s="345">
        <f t="shared" si="151"/>
        <v>39.199769311368534</v>
      </c>
      <c r="Y382" s="346">
        <f t="shared" si="152"/>
        <v>-16.739728757242354</v>
      </c>
      <c r="AA382" s="345">
        <f t="shared" si="153"/>
        <v>23.032356996038107</v>
      </c>
      <c r="AB382" s="346">
        <f t="shared" si="154"/>
        <v>-88.088080666086924</v>
      </c>
      <c r="AD382">
        <f t="shared" si="158"/>
        <v>0</v>
      </c>
      <c r="AE382">
        <f t="shared" si="161"/>
        <v>0</v>
      </c>
    </row>
    <row r="383" spans="1:31" x14ac:dyDescent="0.2">
      <c r="A383" s="347">
        <v>32736</v>
      </c>
      <c r="B383" s="364">
        <f t="shared" si="155"/>
        <v>32.735999999999997</v>
      </c>
      <c r="C383" s="337">
        <f t="shared" si="136"/>
        <v>80.893077488715733</v>
      </c>
      <c r="D383" s="338">
        <f t="shared" si="137"/>
        <v>1.5584340146833264</v>
      </c>
      <c r="E383" s="338">
        <f t="shared" si="138"/>
        <v>1.0019020006264348</v>
      </c>
      <c r="F383" s="339">
        <f t="shared" si="139"/>
        <v>6.1627767106975727E-2</v>
      </c>
      <c r="G383" s="338">
        <f t="shared" si="140"/>
        <v>1</v>
      </c>
      <c r="H383" s="339">
        <f t="shared" si="141"/>
        <v>0</v>
      </c>
      <c r="I383" s="337">
        <f t="shared" si="142"/>
        <v>4349.1866482995474</v>
      </c>
      <c r="J383" s="340">
        <f t="shared" si="143"/>
        <v>1.5705663987440501</v>
      </c>
      <c r="K383" s="348">
        <f t="shared" si="159"/>
        <v>5.1880252370999784</v>
      </c>
      <c r="L383" s="349">
        <f t="shared" si="160"/>
        <v>1.3768307957180836</v>
      </c>
      <c r="M383" s="337">
        <f t="shared" si="144"/>
        <v>1.0048108335721704</v>
      </c>
      <c r="N383" s="340">
        <f t="shared" si="145"/>
        <v>9.7894082073383834E-2</v>
      </c>
      <c r="O383" s="341">
        <f t="shared" si="146"/>
        <v>0.99975109113239513</v>
      </c>
      <c r="P383" s="342">
        <f t="shared" si="147"/>
        <v>4.0572270402677968E-2</v>
      </c>
      <c r="Q383" s="343">
        <f t="shared" si="148"/>
        <v>5.347087875414811</v>
      </c>
      <c r="R383" s="344">
        <f t="shared" si="149"/>
        <v>-104.79445085094279</v>
      </c>
      <c r="S383" s="346">
        <f t="shared" si="150"/>
        <v>75.205549149057205</v>
      </c>
      <c r="U383" s="319">
        <f t="shared" si="156"/>
        <v>1000000000</v>
      </c>
      <c r="V383" s="319">
        <f t="shared" si="157"/>
        <v>1071645696</v>
      </c>
      <c r="X383" s="345">
        <f t="shared" si="151"/>
        <v>39.197418902191032</v>
      </c>
      <c r="Y383" s="346">
        <f t="shared" si="152"/>
        <v>-16.709150156014989</v>
      </c>
      <c r="AA383" s="345">
        <f t="shared" si="153"/>
        <v>22.982419131318789</v>
      </c>
      <c r="AB383" s="346">
        <f t="shared" si="154"/>
        <v>-88.08530069492781</v>
      </c>
      <c r="AD383">
        <f t="shared" si="158"/>
        <v>0</v>
      </c>
      <c r="AE383">
        <f t="shared" si="161"/>
        <v>0</v>
      </c>
    </row>
    <row r="384" spans="1:31" x14ac:dyDescent="0.2">
      <c r="A384" s="347">
        <v>32924.5</v>
      </c>
      <c r="B384" s="364">
        <f t="shared" si="155"/>
        <v>32.924500000000002</v>
      </c>
      <c r="C384" s="337">
        <f t="shared" si="136"/>
        <v>81.358803953149049</v>
      </c>
      <c r="D384" s="338">
        <f t="shared" si="137"/>
        <v>1.5585047844886075</v>
      </c>
      <c r="E384" s="338">
        <f t="shared" si="138"/>
        <v>1.0019239467484418</v>
      </c>
      <c r="F384" s="339">
        <f t="shared" si="139"/>
        <v>6.198172572082291E-2</v>
      </c>
      <c r="G384" s="338">
        <f t="shared" si="140"/>
        <v>1</v>
      </c>
      <c r="H384" s="339">
        <f t="shared" si="141"/>
        <v>0</v>
      </c>
      <c r="I384" s="337">
        <f t="shared" si="142"/>
        <v>4374.2300757185085</v>
      </c>
      <c r="J384" s="340">
        <f t="shared" si="143"/>
        <v>1.5705677151326383</v>
      </c>
      <c r="K384" s="348">
        <f t="shared" si="159"/>
        <v>5.2167920153481795</v>
      </c>
      <c r="L384" s="349">
        <f t="shared" si="160"/>
        <v>1.377913876645241</v>
      </c>
      <c r="M384" s="337">
        <f t="shared" si="144"/>
        <v>1.0048662618986917</v>
      </c>
      <c r="N384" s="340">
        <f t="shared" si="145"/>
        <v>9.8454149168591923E-2</v>
      </c>
      <c r="O384" s="341">
        <f t="shared" si="146"/>
        <v>0.999748222700094</v>
      </c>
      <c r="P384" s="342">
        <f t="shared" si="147"/>
        <v>4.0806139639676664E-2</v>
      </c>
      <c r="Q384" s="343">
        <f t="shared" si="148"/>
        <v>5.2951173036355828</v>
      </c>
      <c r="R384" s="344">
        <f t="shared" si="149"/>
        <v>-104.76173398591985</v>
      </c>
      <c r="S384" s="346">
        <f t="shared" si="150"/>
        <v>75.238266014080153</v>
      </c>
      <c r="U384" s="319">
        <f t="shared" si="156"/>
        <v>1000000000</v>
      </c>
      <c r="V384" s="319">
        <f t="shared" si="157"/>
        <v>1084022700.25</v>
      </c>
      <c r="X384" s="345">
        <f t="shared" si="151"/>
        <v>39.195097100783379</v>
      </c>
      <c r="Y384" s="346">
        <f t="shared" si="152"/>
        <v>-16.679259094293482</v>
      </c>
      <c r="AA384" s="345">
        <f t="shared" si="153"/>
        <v>22.932770360947217</v>
      </c>
      <c r="AB384" s="346">
        <f t="shared" si="154"/>
        <v>-88.08247489162639</v>
      </c>
      <c r="AD384">
        <f t="shared" si="158"/>
        <v>0</v>
      </c>
      <c r="AE384">
        <f t="shared" si="161"/>
        <v>0</v>
      </c>
    </row>
    <row r="385" spans="1:31" x14ac:dyDescent="0.2">
      <c r="A385" s="347">
        <v>33113</v>
      </c>
      <c r="B385" s="364">
        <f t="shared" si="155"/>
        <v>33.113</v>
      </c>
      <c r="C385" s="337">
        <f t="shared" si="136"/>
        <v>81.824530820418474</v>
      </c>
      <c r="D385" s="338">
        <f t="shared" si="137"/>
        <v>1.558574748682535</v>
      </c>
      <c r="E385" s="338">
        <f t="shared" si="138"/>
        <v>1.0019460183926858</v>
      </c>
      <c r="F385" s="339">
        <f t="shared" si="139"/>
        <v>6.2335668784462894E-2</v>
      </c>
      <c r="G385" s="338">
        <f t="shared" si="140"/>
        <v>1</v>
      </c>
      <c r="H385" s="339">
        <f t="shared" si="141"/>
        <v>0</v>
      </c>
      <c r="I385" s="337">
        <f t="shared" si="142"/>
        <v>4399.2735031449629</v>
      </c>
      <c r="J385" s="340">
        <f t="shared" si="143"/>
        <v>1.5705690165338053</v>
      </c>
      <c r="K385" s="348">
        <f t="shared" si="159"/>
        <v>5.2455648461043021</v>
      </c>
      <c r="L385" s="349">
        <f t="shared" si="160"/>
        <v>1.3789850770449688</v>
      </c>
      <c r="M385" s="337">
        <f t="shared" si="144"/>
        <v>1.0049220053919607</v>
      </c>
      <c r="N385" s="340">
        <f t="shared" si="145"/>
        <v>9.9014154305076485E-2</v>
      </c>
      <c r="O385" s="341">
        <f t="shared" si="146"/>
        <v>0.99974533794449183</v>
      </c>
      <c r="P385" s="342">
        <f t="shared" si="147"/>
        <v>4.1040013122313528E-2</v>
      </c>
      <c r="Q385" s="343">
        <f t="shared" si="148"/>
        <v>5.2434604600707058</v>
      </c>
      <c r="R385" s="344">
        <f t="shared" si="149"/>
        <v>-104.7296483923763</v>
      </c>
      <c r="S385" s="346">
        <f t="shared" si="150"/>
        <v>75.270351607623695</v>
      </c>
      <c r="U385" s="319">
        <f t="shared" si="156"/>
        <v>1000000000</v>
      </c>
      <c r="V385" s="319">
        <f t="shared" si="157"/>
        <v>1096470769</v>
      </c>
      <c r="X385" s="345">
        <f t="shared" si="151"/>
        <v>39.192803218752495</v>
      </c>
      <c r="Y385" s="346">
        <f t="shared" si="152"/>
        <v>-16.650044327963503</v>
      </c>
      <c r="AA385" s="345">
        <f t="shared" si="153"/>
        <v>22.883407399413219</v>
      </c>
      <c r="AB385" s="346">
        <f t="shared" si="154"/>
        <v>-88.079604064412791</v>
      </c>
      <c r="AD385">
        <f t="shared" si="158"/>
        <v>0</v>
      </c>
      <c r="AE385">
        <f t="shared" si="161"/>
        <v>0</v>
      </c>
    </row>
    <row r="386" spans="1:31" x14ac:dyDescent="0.2">
      <c r="A386" s="347">
        <v>33305.75</v>
      </c>
      <c r="B386" s="364">
        <f t="shared" si="155"/>
        <v>33.305750000000003</v>
      </c>
      <c r="C386" s="337">
        <f t="shared" si="136"/>
        <v>82.300758570259973</v>
      </c>
      <c r="D386" s="338">
        <f t="shared" si="137"/>
        <v>1.558645471504976</v>
      </c>
      <c r="E386" s="338">
        <f t="shared" si="138"/>
        <v>1.0019687174640854</v>
      </c>
      <c r="F386" s="339">
        <f t="shared" si="139"/>
        <v>6.2697575825372789E-2</v>
      </c>
      <c r="G386" s="338">
        <f t="shared" si="140"/>
        <v>1</v>
      </c>
      <c r="H386" s="339">
        <f t="shared" si="141"/>
        <v>0</v>
      </c>
      <c r="I386" s="337">
        <f t="shared" si="142"/>
        <v>4424.8815701894446</v>
      </c>
      <c r="J386" s="340">
        <f t="shared" si="143"/>
        <v>1.5705703320439299</v>
      </c>
      <c r="K386" s="348">
        <f t="shared" si="159"/>
        <v>5.2749925567150688</v>
      </c>
      <c r="L386" s="349">
        <f t="shared" si="160"/>
        <v>1.3800683438409147</v>
      </c>
      <c r="M386" s="337">
        <f t="shared" si="144"/>
        <v>1.0049793315524267</v>
      </c>
      <c r="N386" s="340">
        <f t="shared" si="145"/>
        <v>9.9586721127006686E-2</v>
      </c>
      <c r="O386" s="341">
        <f t="shared" si="146"/>
        <v>0.99974237127110166</v>
      </c>
      <c r="P386" s="342">
        <f t="shared" si="147"/>
        <v>4.1279164030108985E-2</v>
      </c>
      <c r="Q386" s="343">
        <f t="shared" si="148"/>
        <v>5.1909592958224371</v>
      </c>
      <c r="R386" s="344">
        <f t="shared" si="149"/>
        <v>-104.69748152331336</v>
      </c>
      <c r="S386" s="346">
        <f t="shared" si="150"/>
        <v>75.302518476686643</v>
      </c>
      <c r="U386" s="319">
        <f t="shared" si="156"/>
        <v>1000000000</v>
      </c>
      <c r="V386" s="319">
        <f t="shared" si="157"/>
        <v>1109272983.0625</v>
      </c>
      <c r="X386" s="345">
        <f t="shared" si="151"/>
        <v>39.190485791044118</v>
      </c>
      <c r="Y386" s="346">
        <f t="shared" si="152"/>
        <v>-16.620858747999662</v>
      </c>
      <c r="AA386" s="345">
        <f t="shared" si="153"/>
        <v>22.83322366287333</v>
      </c>
      <c r="AB386" s="346">
        <f t="shared" si="154"/>
        <v>-88.076622775313709</v>
      </c>
      <c r="AD386">
        <f t="shared" si="158"/>
        <v>0</v>
      </c>
      <c r="AE386">
        <f t="shared" si="161"/>
        <v>0</v>
      </c>
    </row>
    <row r="387" spans="1:31" x14ac:dyDescent="0.2">
      <c r="A387" s="347">
        <v>33498.5</v>
      </c>
      <c r="B387" s="364">
        <f t="shared" si="155"/>
        <v>33.4985</v>
      </c>
      <c r="C387" s="337">
        <f t="shared" si="136"/>
        <v>82.776986727010112</v>
      </c>
      <c r="D387" s="338">
        <f t="shared" si="137"/>
        <v>1.5587153805702034</v>
      </c>
      <c r="E387" s="338">
        <f t="shared" si="138"/>
        <v>1.0019915477640913</v>
      </c>
      <c r="F387" s="339">
        <f t="shared" si="139"/>
        <v>6.3059466421632196E-2</v>
      </c>
      <c r="G387" s="338">
        <f t="shared" si="140"/>
        <v>1</v>
      </c>
      <c r="H387" s="339">
        <f t="shared" si="141"/>
        <v>0</v>
      </c>
      <c r="I387" s="337">
        <f t="shared" si="142"/>
        <v>4450.4896372414951</v>
      </c>
      <c r="J387" s="340">
        <f t="shared" si="143"/>
        <v>1.5705716324151937</v>
      </c>
      <c r="K387" s="348">
        <f t="shared" si="159"/>
        <v>5.3044263886694019</v>
      </c>
      <c r="L387" s="349">
        <f t="shared" si="160"/>
        <v>1.3811395899630925</v>
      </c>
      <c r="M387" s="337">
        <f t="shared" si="144"/>
        <v>1.0050369871403988</v>
      </c>
      <c r="N387" s="340">
        <f t="shared" si="145"/>
        <v>0.10015922244414222</v>
      </c>
      <c r="O387" s="341">
        <f t="shared" si="146"/>
        <v>0.99973938753537928</v>
      </c>
      <c r="P387" s="342">
        <f t="shared" si="147"/>
        <v>4.1518319428503044E-2</v>
      </c>
      <c r="Q387" s="343">
        <f t="shared" si="148"/>
        <v>5.1387779991490188</v>
      </c>
      <c r="R387" s="344">
        <f t="shared" si="149"/>
        <v>-104.66595334223145</v>
      </c>
      <c r="S387" s="346">
        <f t="shared" si="150"/>
        <v>75.334046657768553</v>
      </c>
      <c r="U387" s="319">
        <f t="shared" si="156"/>
        <v>1000000000</v>
      </c>
      <c r="V387" s="319">
        <f t="shared" si="157"/>
        <v>1122149502.25</v>
      </c>
      <c r="X387" s="345">
        <f t="shared" si="151"/>
        <v>39.188196159435449</v>
      </c>
      <c r="Y387" s="346">
        <f t="shared" si="152"/>
        <v>-16.592357281369317</v>
      </c>
      <c r="AA387" s="345">
        <f t="shared" si="153"/>
        <v>22.783331997808581</v>
      </c>
      <c r="AB387" s="346">
        <f t="shared" si="154"/>
        <v>-88.073596060862116</v>
      </c>
      <c r="AD387">
        <f t="shared" si="158"/>
        <v>0</v>
      </c>
      <c r="AE387">
        <f t="shared" si="161"/>
        <v>0</v>
      </c>
    </row>
    <row r="388" spans="1:31" x14ac:dyDescent="0.2">
      <c r="A388" s="347">
        <v>33691.25</v>
      </c>
      <c r="B388" s="364">
        <f t="shared" si="155"/>
        <v>33.691249999999997</v>
      </c>
      <c r="C388" s="337">
        <f t="shared" si="136"/>
        <v>83.253215283686032</v>
      </c>
      <c r="D388" s="338">
        <f t="shared" si="137"/>
        <v>1.558784489842193</v>
      </c>
      <c r="E388" s="338">
        <f t="shared" si="138"/>
        <v>1.0020145092837338</v>
      </c>
      <c r="F388" s="339">
        <f t="shared" si="139"/>
        <v>6.342134047957855E-2</v>
      </c>
      <c r="G388" s="338">
        <f t="shared" si="140"/>
        <v>1</v>
      </c>
      <c r="H388" s="339">
        <f t="shared" si="141"/>
        <v>0</v>
      </c>
      <c r="I388" s="337">
        <f t="shared" si="142"/>
        <v>4476.0977043009862</v>
      </c>
      <c r="J388" s="340">
        <f t="shared" si="143"/>
        <v>1.5705729179074279</v>
      </c>
      <c r="K388" s="348">
        <f t="shared" si="159"/>
        <v>5.3338662406292192</v>
      </c>
      <c r="L388" s="349">
        <f t="shared" si="160"/>
        <v>1.3821990119737395</v>
      </c>
      <c r="M388" s="337">
        <f t="shared" si="144"/>
        <v>1.0050949720991855</v>
      </c>
      <c r="N388" s="340">
        <f t="shared" si="145"/>
        <v>0.10073165789250474</v>
      </c>
      <c r="O388" s="341">
        <f t="shared" si="146"/>
        <v>0.99973638674004317</v>
      </c>
      <c r="P388" s="342">
        <f t="shared" si="147"/>
        <v>4.1757479343458428E-2</v>
      </c>
      <c r="Q388" s="343">
        <f t="shared" si="148"/>
        <v>5.0869125573613703</v>
      </c>
      <c r="R388" s="344">
        <f t="shared" si="149"/>
        <v>-104.6350533879075</v>
      </c>
      <c r="S388" s="346">
        <f t="shared" si="150"/>
        <v>75.364946612092496</v>
      </c>
      <c r="U388" s="319">
        <f t="shared" si="156"/>
        <v>1000000000</v>
      </c>
      <c r="V388" s="319">
        <f t="shared" si="157"/>
        <v>1135100326.5625</v>
      </c>
      <c r="X388" s="345">
        <f t="shared" si="151"/>
        <v>39.1859336467869</v>
      </c>
      <c r="Y388" s="346">
        <f t="shared" si="152"/>
        <v>-16.564528659918647</v>
      </c>
      <c r="AA388" s="345">
        <f t="shared" si="153"/>
        <v>22.733729068669479</v>
      </c>
      <c r="AB388" s="346">
        <f t="shared" si="154"/>
        <v>-88.070524727988882</v>
      </c>
      <c r="AD388">
        <f t="shared" si="158"/>
        <v>0</v>
      </c>
      <c r="AE388">
        <f t="shared" si="161"/>
        <v>0</v>
      </c>
    </row>
    <row r="389" spans="1:31" x14ac:dyDescent="0.2">
      <c r="A389" s="347">
        <v>33884</v>
      </c>
      <c r="B389" s="364">
        <f t="shared" si="155"/>
        <v>33.884</v>
      </c>
      <c r="C389" s="337">
        <f t="shared" si="136"/>
        <v>83.729444233463795</v>
      </c>
      <c r="D389" s="338">
        <f t="shared" si="137"/>
        <v>1.5588528129672594</v>
      </c>
      <c r="E389" s="338">
        <f t="shared" si="138"/>
        <v>1.0020376020139923</v>
      </c>
      <c r="F389" s="339">
        <f t="shared" si="139"/>
        <v>6.3783197905575184E-2</v>
      </c>
      <c r="G389" s="338">
        <f t="shared" si="140"/>
        <v>1</v>
      </c>
      <c r="H389" s="339">
        <f t="shared" si="141"/>
        <v>0</v>
      </c>
      <c r="I389" s="337">
        <f t="shared" si="142"/>
        <v>4501.7057713677896</v>
      </c>
      <c r="J389" s="340">
        <f t="shared" si="143"/>
        <v>1.5705741887745523</v>
      </c>
      <c r="K389" s="348">
        <f t="shared" si="159"/>
        <v>5.3633120134609591</v>
      </c>
      <c r="L389" s="349">
        <f t="shared" si="160"/>
        <v>1.3832468022259106</v>
      </c>
      <c r="M389" s="337">
        <f t="shared" si="144"/>
        <v>1.0051532863717851</v>
      </c>
      <c r="N389" s="340">
        <f t="shared" si="145"/>
        <v>0.10130402710837234</v>
      </c>
      <c r="O389" s="341">
        <f t="shared" si="146"/>
        <v>0.99973336888782727</v>
      </c>
      <c r="P389" s="342">
        <f t="shared" si="147"/>
        <v>4.1996643800937428E-2</v>
      </c>
      <c r="Q389" s="343">
        <f t="shared" si="148"/>
        <v>5.035359033388592</v>
      </c>
      <c r="R389" s="344">
        <f t="shared" si="149"/>
        <v>-104.604771421761</v>
      </c>
      <c r="S389" s="346">
        <f t="shared" si="150"/>
        <v>75.395228578238999</v>
      </c>
      <c r="U389" s="319">
        <f t="shared" si="156"/>
        <v>1000000000</v>
      </c>
      <c r="V389" s="319">
        <f t="shared" si="157"/>
        <v>1148125456</v>
      </c>
      <c r="X389" s="345">
        <f t="shared" si="151"/>
        <v>39.183697594528084</v>
      </c>
      <c r="Y389" s="346">
        <f t="shared" si="152"/>
        <v>-16.537361856338226</v>
      </c>
      <c r="AA389" s="345">
        <f t="shared" si="153"/>
        <v>22.684411596955517</v>
      </c>
      <c r="AB389" s="346">
        <f t="shared" si="154"/>
        <v>-88.067409565422764</v>
      </c>
      <c r="AD389">
        <f t="shared" si="158"/>
        <v>0</v>
      </c>
      <c r="AE389">
        <f t="shared" si="161"/>
        <v>0</v>
      </c>
    </row>
    <row r="390" spans="1:31" x14ac:dyDescent="0.2">
      <c r="A390" s="347">
        <v>34081.5</v>
      </c>
      <c r="B390" s="364">
        <f t="shared" si="155"/>
        <v>34.081499999999998</v>
      </c>
      <c r="C390" s="337">
        <f t="shared" si="136"/>
        <v>84.217409446595298</v>
      </c>
      <c r="D390" s="338">
        <f t="shared" si="137"/>
        <v>1.5589220183018557</v>
      </c>
      <c r="E390" s="338">
        <f t="shared" si="138"/>
        <v>1.0020613999169687</v>
      </c>
      <c r="F390" s="339">
        <f t="shared" si="139"/>
        <v>6.4153955350349928E-2</v>
      </c>
      <c r="G390" s="338">
        <f t="shared" si="140"/>
        <v>1</v>
      </c>
      <c r="H390" s="339">
        <f t="shared" si="141"/>
        <v>0</v>
      </c>
      <c r="I390" s="337">
        <f t="shared" si="142"/>
        <v>4527.9449062426565</v>
      </c>
      <c r="J390" s="340">
        <f t="shared" si="143"/>
        <v>1.570575476049396</v>
      </c>
      <c r="K390" s="348">
        <f t="shared" si="159"/>
        <v>5.3934894680250327</v>
      </c>
      <c r="L390" s="349">
        <f t="shared" si="160"/>
        <v>1.3843085450994523</v>
      </c>
      <c r="M390" s="337">
        <f t="shared" si="144"/>
        <v>1.0052133792286342</v>
      </c>
      <c r="N390" s="340">
        <f t="shared" si="145"/>
        <v>0.10189043232119827</v>
      </c>
      <c r="O390" s="341">
        <f t="shared" si="146"/>
        <v>0.99973025897602197</v>
      </c>
      <c r="P390" s="342">
        <f t="shared" si="147"/>
        <v>4.2241706803729399E-2</v>
      </c>
      <c r="Q390" s="343">
        <f t="shared" si="148"/>
        <v>4.9828545621887876</v>
      </c>
      <c r="R390" s="344">
        <f t="shared" si="149"/>
        <v>-104.57437374789755</v>
      </c>
      <c r="S390" s="346">
        <f t="shared" si="150"/>
        <v>75.425626252102447</v>
      </c>
      <c r="U390" s="319">
        <f t="shared" si="156"/>
        <v>1000000000</v>
      </c>
      <c r="V390" s="319">
        <f t="shared" si="157"/>
        <v>1161548642.25</v>
      </c>
      <c r="X390" s="345">
        <f t="shared" si="151"/>
        <v>39.181433215225042</v>
      </c>
      <c r="Y390" s="346">
        <f t="shared" si="152"/>
        <v>-16.510200769920161</v>
      </c>
      <c r="AA390" s="345">
        <f t="shared" si="153"/>
        <v>22.634171505058752</v>
      </c>
      <c r="AB390" s="346">
        <f t="shared" si="154"/>
        <v>-88.064172977977364</v>
      </c>
      <c r="AD390">
        <f t="shared" si="158"/>
        <v>0</v>
      </c>
      <c r="AE390">
        <f t="shared" si="161"/>
        <v>0</v>
      </c>
    </row>
    <row r="391" spans="1:31" x14ac:dyDescent="0.2">
      <c r="A391" s="347">
        <v>34279</v>
      </c>
      <c r="B391" s="364">
        <f t="shared" si="155"/>
        <v>34.279000000000003</v>
      </c>
      <c r="C391" s="337">
        <f t="shared" si="136"/>
        <v>84.705375058428672</v>
      </c>
      <c r="D391" s="338">
        <f t="shared" si="137"/>
        <v>1.558990426288948</v>
      </c>
      <c r="E391" s="338">
        <f t="shared" si="138"/>
        <v>1.002085335557837</v>
      </c>
      <c r="F391" s="339">
        <f t="shared" si="139"/>
        <v>6.4524695134385676E-2</v>
      </c>
      <c r="G391" s="338">
        <f t="shared" si="140"/>
        <v>1</v>
      </c>
      <c r="H391" s="339">
        <f t="shared" si="141"/>
        <v>0</v>
      </c>
      <c r="I391" s="337">
        <f t="shared" si="142"/>
        <v>4554.1840411249404</v>
      </c>
      <c r="J391" s="340">
        <f t="shared" si="143"/>
        <v>1.5705767484908568</v>
      </c>
      <c r="K391" s="348">
        <f t="shared" si="159"/>
        <v>5.4236729349953201</v>
      </c>
      <c r="L391" s="349">
        <f t="shared" si="160"/>
        <v>1.3853584716627687</v>
      </c>
      <c r="M391" s="337">
        <f t="shared" si="144"/>
        <v>1.0052738177078919</v>
      </c>
      <c r="N391" s="340">
        <f t="shared" si="145"/>
        <v>0.10247676722461131</v>
      </c>
      <c r="O391" s="341">
        <f t="shared" si="146"/>
        <v>0.99972713116216461</v>
      </c>
      <c r="P391" s="342">
        <f t="shared" si="147"/>
        <v>4.2486774630874913E-2</v>
      </c>
      <c r="Q391" s="343">
        <f t="shared" si="148"/>
        <v>4.9306694380140428</v>
      </c>
      <c r="R391" s="344">
        <f t="shared" si="149"/>
        <v>-104.54460382407136</v>
      </c>
      <c r="S391" s="346">
        <f t="shared" si="150"/>
        <v>75.455396175928641</v>
      </c>
      <c r="U391" s="319">
        <f t="shared" si="156"/>
        <v>1000000000</v>
      </c>
      <c r="V391" s="319">
        <f t="shared" si="157"/>
        <v>1175049841</v>
      </c>
      <c r="X391" s="345">
        <f t="shared" si="151"/>
        <v>39.179195273819325</v>
      </c>
      <c r="Y391" s="346">
        <f t="shared" si="152"/>
        <v>-16.483711829885362</v>
      </c>
      <c r="AA391" s="345">
        <f t="shared" si="153"/>
        <v>22.584224322289725</v>
      </c>
      <c r="AB391" s="346">
        <f t="shared" si="154"/>
        <v>-88.060891994186036</v>
      </c>
      <c r="AD391">
        <f t="shared" si="158"/>
        <v>0</v>
      </c>
      <c r="AE391">
        <f t="shared" si="161"/>
        <v>0</v>
      </c>
    </row>
    <row r="392" spans="1:31" x14ac:dyDescent="0.2">
      <c r="A392" s="347">
        <v>34476.5</v>
      </c>
      <c r="B392" s="364">
        <f t="shared" si="155"/>
        <v>34.476500000000001</v>
      </c>
      <c r="C392" s="337">
        <f t="shared" si="136"/>
        <v>85.193341062112893</v>
      </c>
      <c r="D392" s="338">
        <f t="shared" si="137"/>
        <v>1.5590580506289073</v>
      </c>
      <c r="E392" s="338">
        <f t="shared" si="138"/>
        <v>1.0021094089267271</v>
      </c>
      <c r="F392" s="339">
        <f t="shared" si="139"/>
        <v>6.4895417157036728E-2</v>
      </c>
      <c r="G392" s="338">
        <f t="shared" si="140"/>
        <v>1</v>
      </c>
      <c r="H392" s="339">
        <f t="shared" si="141"/>
        <v>0</v>
      </c>
      <c r="I392" s="337">
        <f t="shared" si="142"/>
        <v>4580.423176014513</v>
      </c>
      <c r="J392" s="340">
        <f t="shared" si="143"/>
        <v>1.5705780063538552</v>
      </c>
      <c r="K392" s="348">
        <f t="shared" si="159"/>
        <v>5.4538623145479246</v>
      </c>
      <c r="L392" s="349">
        <f t="shared" si="160"/>
        <v>1.3863967758061342</v>
      </c>
      <c r="M392" s="337">
        <f t="shared" si="144"/>
        <v>1.0053346017472242</v>
      </c>
      <c r="N392" s="340">
        <f t="shared" si="145"/>
        <v>0.10306303142817803</v>
      </c>
      <c r="O392" s="341">
        <f t="shared" si="146"/>
        <v>0.99972398544924768</v>
      </c>
      <c r="P392" s="342">
        <f t="shared" si="147"/>
        <v>4.273184731030185E-2</v>
      </c>
      <c r="Q392" s="343">
        <f t="shared" si="148"/>
        <v>4.8787996602872292</v>
      </c>
      <c r="R392" s="344">
        <f t="shared" si="149"/>
        <v>-104.51545132576396</v>
      </c>
      <c r="S392" s="346">
        <f t="shared" si="150"/>
        <v>75.484548674236038</v>
      </c>
      <c r="U392" s="319">
        <f t="shared" si="156"/>
        <v>1000000000</v>
      </c>
      <c r="V392" s="319">
        <f t="shared" si="157"/>
        <v>1188629052.25</v>
      </c>
      <c r="X392" s="345">
        <f t="shared" si="151"/>
        <v>39.176983118629416</v>
      </c>
      <c r="Y392" s="346">
        <f t="shared" si="152"/>
        <v>-16.457883919375039</v>
      </c>
      <c r="AA392" s="345">
        <f t="shared" si="153"/>
        <v>22.534566699752823</v>
      </c>
      <c r="AB392" s="346">
        <f t="shared" si="154"/>
        <v>-88.057567406388927</v>
      </c>
      <c r="AD392">
        <f t="shared" si="158"/>
        <v>0</v>
      </c>
      <c r="AE392">
        <f t="shared" si="161"/>
        <v>0</v>
      </c>
    </row>
    <row r="393" spans="1:31" x14ac:dyDescent="0.2">
      <c r="A393" s="347">
        <v>34674</v>
      </c>
      <c r="B393" s="364">
        <f t="shared" si="155"/>
        <v>34.673999999999999</v>
      </c>
      <c r="C393" s="337">
        <f t="shared" si="136"/>
        <v>85.681307450953085</v>
      </c>
      <c r="D393" s="338">
        <f t="shared" si="137"/>
        <v>1.5591249047100326</v>
      </c>
      <c r="E393" s="338">
        <f t="shared" si="138"/>
        <v>1.0021336200137134</v>
      </c>
      <c r="F393" s="339">
        <f t="shared" si="139"/>
        <v>6.5266121317686554E-2</v>
      </c>
      <c r="G393" s="338">
        <f t="shared" si="140"/>
        <v>1</v>
      </c>
      <c r="H393" s="339">
        <f t="shared" si="141"/>
        <v>0</v>
      </c>
      <c r="I393" s="337">
        <f t="shared" si="142"/>
        <v>4606.6623109112506</v>
      </c>
      <c r="J393" s="340">
        <f t="shared" si="143"/>
        <v>1.5705792498875042</v>
      </c>
      <c r="K393" s="348">
        <f t="shared" si="159"/>
        <v>5.4840575090377053</v>
      </c>
      <c r="L393" s="349">
        <f t="shared" si="160"/>
        <v>1.3874236472510859</v>
      </c>
      <c r="M393" s="337">
        <f t="shared" si="144"/>
        <v>1.0053957312839557</v>
      </c>
      <c r="N393" s="340">
        <f t="shared" si="145"/>
        <v>0.10364922454175346</v>
      </c>
      <c r="O393" s="341">
        <f t="shared" si="146"/>
        <v>0.99972082184028122</v>
      </c>
      <c r="P393" s="342">
        <f t="shared" si="147"/>
        <v>4.2976924869937573E-2</v>
      </c>
      <c r="Q393" s="343">
        <f t="shared" si="148"/>
        <v>4.8272413037105091</v>
      </c>
      <c r="R393" s="344">
        <f t="shared" si="149"/>
        <v>-104.4869061491094</v>
      </c>
      <c r="S393" s="346">
        <f t="shared" si="150"/>
        <v>75.513093850890598</v>
      </c>
      <c r="U393" s="319">
        <f t="shared" si="156"/>
        <v>1000000000</v>
      </c>
      <c r="V393" s="319">
        <f t="shared" si="157"/>
        <v>1202286276</v>
      </c>
      <c r="X393" s="345">
        <f t="shared" si="151"/>
        <v>39.174796115900186</v>
      </c>
      <c r="Y393" s="346">
        <f t="shared" si="152"/>
        <v>-16.432706160065315</v>
      </c>
      <c r="AA393" s="345">
        <f t="shared" si="153"/>
        <v>22.485195345905332</v>
      </c>
      <c r="AB393" s="346">
        <f t="shared" si="154"/>
        <v>-88.054199989044093</v>
      </c>
      <c r="AD393">
        <f t="shared" si="158"/>
        <v>0</v>
      </c>
      <c r="AE393">
        <f t="shared" si="161"/>
        <v>0</v>
      </c>
    </row>
    <row r="394" spans="1:31" x14ac:dyDescent="0.2">
      <c r="A394" s="347">
        <v>34875.75</v>
      </c>
      <c r="B394" s="364">
        <f t="shared" si="155"/>
        <v>34.875749999999996</v>
      </c>
      <c r="C394" s="337">
        <f t="shared" si="136"/>
        <v>86.179774773211676</v>
      </c>
      <c r="D394" s="338">
        <f t="shared" si="137"/>
        <v>1.5591924157290324</v>
      </c>
      <c r="E394" s="338">
        <f t="shared" si="138"/>
        <v>1.0021584942837081</v>
      </c>
      <c r="F394" s="339">
        <f t="shared" si="139"/>
        <v>6.5644784109179677E-2</v>
      </c>
      <c r="G394" s="338">
        <f t="shared" si="140"/>
        <v>1</v>
      </c>
      <c r="H394" s="339">
        <f t="shared" si="141"/>
        <v>0</v>
      </c>
      <c r="I394" s="337">
        <f t="shared" si="142"/>
        <v>4633.4660854269623</v>
      </c>
      <c r="J394" s="340">
        <f t="shared" si="143"/>
        <v>1.5705805056386981</v>
      </c>
      <c r="K394" s="348">
        <f t="shared" si="159"/>
        <v>5.5149083781899826</v>
      </c>
      <c r="L394" s="349">
        <f t="shared" si="160"/>
        <v>1.388461004605652</v>
      </c>
      <c r="M394" s="337">
        <f t="shared" si="144"/>
        <v>1.0054585329304051</v>
      </c>
      <c r="N394" s="340">
        <f t="shared" si="145"/>
        <v>0.10424795813097705</v>
      </c>
      <c r="O394" s="341">
        <f t="shared" si="146"/>
        <v>0.99971757167895137</v>
      </c>
      <c r="P394" s="342">
        <f t="shared" si="147"/>
        <v>4.3227281318382889E-2</v>
      </c>
      <c r="Q394" s="343">
        <f t="shared" si="148"/>
        <v>4.7748910037117485</v>
      </c>
      <c r="R394" s="344">
        <f t="shared" si="149"/>
        <v>-104.45836349228999</v>
      </c>
      <c r="S394" s="346">
        <f t="shared" si="150"/>
        <v>75.54163650771001</v>
      </c>
      <c r="U394" s="319">
        <f t="shared" si="156"/>
        <v>1000000000</v>
      </c>
      <c r="V394" s="319">
        <f t="shared" si="157"/>
        <v>1216317938.0625</v>
      </c>
      <c r="X394" s="345">
        <f t="shared" si="151"/>
        <v>39.172587380331393</v>
      </c>
      <c r="Y394" s="346">
        <f t="shared" si="152"/>
        <v>-16.407646818731941</v>
      </c>
      <c r="AA394" s="345">
        <f t="shared" si="153"/>
        <v>22.435053781475361</v>
      </c>
      <c r="AB394" s="346">
        <f t="shared" si="154"/>
        <v>-88.050716673558043</v>
      </c>
      <c r="AD394">
        <f t="shared" si="158"/>
        <v>0</v>
      </c>
      <c r="AE394">
        <f t="shared" si="161"/>
        <v>0</v>
      </c>
    </row>
    <row r="395" spans="1:31" x14ac:dyDescent="0.2">
      <c r="A395" s="347">
        <v>35077.5</v>
      </c>
      <c r="B395" s="364">
        <f t="shared" si="155"/>
        <v>35.077500000000001</v>
      </c>
      <c r="C395" s="337">
        <f t="shared" si="136"/>
        <v>86.678242483737449</v>
      </c>
      <c r="D395" s="338">
        <f t="shared" si="137"/>
        <v>1.5592591502659749</v>
      </c>
      <c r="E395" s="338">
        <f t="shared" si="138"/>
        <v>1.0021835122415639</v>
      </c>
      <c r="F395" s="339">
        <f t="shared" si="139"/>
        <v>6.6023428049503369E-2</v>
      </c>
      <c r="G395" s="338">
        <f t="shared" si="140"/>
        <v>1</v>
      </c>
      <c r="H395" s="339">
        <f t="shared" si="141"/>
        <v>0</v>
      </c>
      <c r="I395" s="337">
        <f t="shared" si="142"/>
        <v>4660.2698599498954</v>
      </c>
      <c r="J395" s="340">
        <f t="shared" si="143"/>
        <v>1.5705817469448609</v>
      </c>
      <c r="K395" s="348">
        <f t="shared" si="159"/>
        <v>5.5457651159597274</v>
      </c>
      <c r="L395" s="349">
        <f t="shared" si="160"/>
        <v>1.3894868193035936</v>
      </c>
      <c r="M395" s="337">
        <f t="shared" si="144"/>
        <v>1.0055216949704515</v>
      </c>
      <c r="N395" s="340">
        <f t="shared" si="145"/>
        <v>0.10484661671565373</v>
      </c>
      <c r="O395" s="341">
        <f t="shared" si="146"/>
        <v>0.99971430284947982</v>
      </c>
      <c r="P395" s="342">
        <f t="shared" si="147"/>
        <v>4.3477642918241133E-2</v>
      </c>
      <c r="Q395" s="343">
        <f t="shared" si="148"/>
        <v>4.7228576239365703</v>
      </c>
      <c r="R395" s="344">
        <f t="shared" si="149"/>
        <v>-104.43043394199884</v>
      </c>
      <c r="S395" s="346">
        <f t="shared" si="150"/>
        <v>75.569566058001158</v>
      </c>
      <c r="U395" s="319">
        <f t="shared" si="156"/>
        <v>1000000000</v>
      </c>
      <c r="V395" s="319">
        <f t="shared" si="157"/>
        <v>1230431006.25</v>
      </c>
      <c r="X395" s="345">
        <f t="shared" si="151"/>
        <v>39.170403609222227</v>
      </c>
      <c r="Y395" s="346">
        <f t="shared" si="152"/>
        <v>-16.38324369782497</v>
      </c>
      <c r="AA395" s="345">
        <f t="shared" si="153"/>
        <v>22.385204172809352</v>
      </c>
      <c r="AB395" s="346">
        <f t="shared" si="154"/>
        <v>-88.047190244173848</v>
      </c>
      <c r="AD395">
        <f t="shared" si="158"/>
        <v>0</v>
      </c>
      <c r="AE395">
        <f t="shared" si="161"/>
        <v>0</v>
      </c>
    </row>
    <row r="396" spans="1:31" x14ac:dyDescent="0.2">
      <c r="A396" s="347">
        <v>35279.25</v>
      </c>
      <c r="B396" s="364">
        <f t="shared" si="155"/>
        <v>35.279249999999998</v>
      </c>
      <c r="C396" s="337">
        <f t="shared" si="136"/>
        <v>87.17671057587016</v>
      </c>
      <c r="D396" s="338">
        <f t="shared" si="137"/>
        <v>1.5593251216398112</v>
      </c>
      <c r="E396" s="338">
        <f t="shared" si="138"/>
        <v>1.0022086738765206</v>
      </c>
      <c r="F396" s="339">
        <f t="shared" si="139"/>
        <v>6.640205303150018E-2</v>
      </c>
      <c r="G396" s="338">
        <f t="shared" si="140"/>
        <v>1</v>
      </c>
      <c r="H396" s="339">
        <f t="shared" si="141"/>
        <v>0</v>
      </c>
      <c r="I396" s="337">
        <f t="shared" si="142"/>
        <v>4687.073634479927</v>
      </c>
      <c r="J396" s="340">
        <f t="shared" si="143"/>
        <v>1.5705829740538109</v>
      </c>
      <c r="K396" s="348">
        <f t="shared" si="159"/>
        <v>5.5766276249297908</v>
      </c>
      <c r="L396" s="349">
        <f t="shared" si="160"/>
        <v>1.390501280808073</v>
      </c>
      <c r="M396" s="337">
        <f t="shared" si="144"/>
        <v>1.005585217336185</v>
      </c>
      <c r="N396" s="340">
        <f t="shared" si="145"/>
        <v>0.10544519988084849</v>
      </c>
      <c r="O396" s="341">
        <f t="shared" si="146"/>
        <v>0.99971101535513129</v>
      </c>
      <c r="P396" s="342">
        <f t="shared" si="147"/>
        <v>4.3728009699279993E-2</v>
      </c>
      <c r="Q396" s="343">
        <f t="shared" si="148"/>
        <v>4.6711372114688157</v>
      </c>
      <c r="R396" s="344">
        <f t="shared" si="149"/>
        <v>-104.40310740418617</v>
      </c>
      <c r="S396" s="346">
        <f t="shared" si="150"/>
        <v>75.596892595813827</v>
      </c>
      <c r="U396" s="319">
        <f t="shared" si="156"/>
        <v>1000000000</v>
      </c>
      <c r="V396" s="319">
        <f t="shared" si="157"/>
        <v>1244625480.5625</v>
      </c>
      <c r="X396" s="345">
        <f t="shared" si="151"/>
        <v>39.168244181248035</v>
      </c>
      <c r="Y396" s="346">
        <f t="shared" si="152"/>
        <v>-16.359485932329754</v>
      </c>
      <c r="AA396" s="345">
        <f t="shared" si="153"/>
        <v>22.335643188315785</v>
      </c>
      <c r="AB396" s="346">
        <f t="shared" si="154"/>
        <v>-88.04362147185644</v>
      </c>
      <c r="AD396">
        <f t="shared" si="158"/>
        <v>0</v>
      </c>
      <c r="AE396">
        <f t="shared" si="161"/>
        <v>0</v>
      </c>
    </row>
    <row r="397" spans="1:31" x14ac:dyDescent="0.2">
      <c r="A397" s="347">
        <v>35481</v>
      </c>
      <c r="B397" s="364">
        <f t="shared" si="155"/>
        <v>35.481000000000002</v>
      </c>
      <c r="C397" s="337">
        <f t="shared" ref="C397:C460" si="162">SQRT(1+(A397/pole1)^2)</f>
        <v>87.675179043101068</v>
      </c>
      <c r="D397" s="338">
        <f t="shared" ref="D397:D460" si="163">ATAN(A397/pole1)</f>
        <v>1.5593903428666245</v>
      </c>
      <c r="E397" s="338">
        <f t="shared" ref="E397:E460" si="164">SQRT(1+(A397/Zero1)^2)</f>
        <v>1.002233979177757</v>
      </c>
      <c r="F397" s="339">
        <f t="shared" ref="F397:F460" si="165">ATAN(A397/Zero1)</f>
        <v>6.6780658948045094E-2</v>
      </c>
      <c r="G397" s="338">
        <f t="shared" ref="G397:G460" si="166">IF(VIN_nom&gt;Vout, 1, SQRT(1+(A397/z_RHP)^2))</f>
        <v>1</v>
      </c>
      <c r="H397" s="339">
        <f t="shared" ref="H397:H460" si="167">IF(VIN_nom&gt;Vout, 0, -ATAN(A397/z_RHP))</f>
        <v>0</v>
      </c>
      <c r="I397" s="337">
        <f t="shared" ref="I397:I460" si="168">SQRT(1+(A397/Pole2)^2)</f>
        <v>4713.8774090169363</v>
      </c>
      <c r="J397" s="340">
        <f t="shared" ref="J397:J460" si="169">ATAN(A397/Pole2)</f>
        <v>1.5705841872077304</v>
      </c>
      <c r="K397" s="348">
        <f t="shared" si="159"/>
        <v>5.6074958098096586</v>
      </c>
      <c r="L397" s="349">
        <f t="shared" si="160"/>
        <v>1.3915045745050663</v>
      </c>
      <c r="M397" s="337">
        <f t="shared" ref="M397:M460" si="170">SQRT(1+(A397/pole4)^2)</f>
        <v>1.0056490999593248</v>
      </c>
      <c r="N397" s="340">
        <f t="shared" ref="N397:N460" si="171">ATAN(A397/pole4)</f>
        <v>0.10604370721194703</v>
      </c>
      <c r="O397" s="341">
        <f t="shared" ref="O397:O460" si="172">SQRT((1-(V397/pterm2))^2+(A397/pterm1)^2)</f>
        <v>0.99970770919918883</v>
      </c>
      <c r="P397" s="342">
        <f t="shared" ref="P397:P460" si="173">IF((ATAN((A397/pterm1)/(1-A397^2/pterm2))&gt;0),ATAN((A397/pterm1)/(1-A397^2/pterm2)),PI()+ATAN((A397/pterm1)/(1-A397^2/pterm2)))</f>
        <v>4.3978381691266583E-2</v>
      </c>
      <c r="Q397" s="343">
        <f t="shared" ref="Q397:Q460" si="174">20*LOG10(((E397*K397*G397)/(C397*I397*O397*M397))*Adc)</f>
        <v>4.6197258874439502</v>
      </c>
      <c r="R397" s="344">
        <f t="shared" ref="R397:R460" si="175">((F397+L397+H397)-(D397+J397+P397+N397))*radconv</f>
        <v>-104.37637400074838</v>
      </c>
      <c r="S397" s="346">
        <f t="shared" ref="S397:S460" si="176">IF(R397&gt;0,R397,R397+180)</f>
        <v>75.623625999251615</v>
      </c>
      <c r="U397" s="319">
        <f t="shared" si="156"/>
        <v>1000000000</v>
      </c>
      <c r="V397" s="319">
        <f t="shared" si="157"/>
        <v>1258901361</v>
      </c>
      <c r="X397" s="345">
        <f t="shared" ref="X397:X460" si="177">20*LOG10((K397/(I397*M397))*AEA)</f>
        <v>39.166108492176377</v>
      </c>
      <c r="Y397" s="346">
        <f t="shared" ref="Y397:Y460" si="178">(L397-(J397+N397))*radconv</f>
        <v>-16.336362890532616</v>
      </c>
      <c r="AA397" s="345">
        <f t="shared" ref="AA397:AA460" si="179">20*LOG10((E397*G397/(C397*O397))*Acs*Am)</f>
        <v>22.286367553362574</v>
      </c>
      <c r="AB397" s="346">
        <f t="shared" ref="AB397:AB460" si="180">(F397+H397-(D397+P397))*radconv</f>
        <v>-88.040011110215787</v>
      </c>
      <c r="AD397">
        <f t="shared" si="158"/>
        <v>0</v>
      </c>
      <c r="AE397">
        <f t="shared" si="161"/>
        <v>0</v>
      </c>
    </row>
    <row r="398" spans="1:31" x14ac:dyDescent="0.2">
      <c r="A398" s="347">
        <v>35687.75</v>
      </c>
      <c r="B398" s="364">
        <f t="shared" ref="B398:B461" si="181">A398/1000</f>
        <v>35.687750000000001</v>
      </c>
      <c r="C398" s="337">
        <f t="shared" si="162"/>
        <v>88.186001510363326</v>
      </c>
      <c r="D398" s="338">
        <f t="shared" si="163"/>
        <v>1.5594564155225998</v>
      </c>
      <c r="E398" s="338">
        <f t="shared" si="164"/>
        <v>1.0022600606637755</v>
      </c>
      <c r="F398" s="339">
        <f t="shared" si="165"/>
        <v>6.7168628018765053E-2</v>
      </c>
      <c r="G398" s="338">
        <f t="shared" si="166"/>
        <v>1</v>
      </c>
      <c r="H398" s="339">
        <f t="shared" si="167"/>
        <v>0</v>
      </c>
      <c r="I398" s="337">
        <f t="shared" si="168"/>
        <v>4741.3454654578891</v>
      </c>
      <c r="J398" s="340">
        <f t="shared" si="169"/>
        <v>1.5705854161969031</v>
      </c>
      <c r="K398" s="348">
        <f t="shared" si="159"/>
        <v>5.6391347966194107</v>
      </c>
      <c r="L398" s="349">
        <f t="shared" si="160"/>
        <v>1.3925213363265279</v>
      </c>
      <c r="M398" s="337">
        <f t="shared" si="170"/>
        <v>1.0057149394836304</v>
      </c>
      <c r="N398" s="340">
        <f t="shared" si="171"/>
        <v>0.10665696832862248</v>
      </c>
      <c r="O398" s="341">
        <f t="shared" si="172"/>
        <v>0.99970430174868663</v>
      </c>
      <c r="P398" s="342">
        <f t="shared" si="173"/>
        <v>4.4234964126651302E-2</v>
      </c>
      <c r="Q398" s="343">
        <f t="shared" si="174"/>
        <v>4.5673571211275812</v>
      </c>
      <c r="R398" s="344">
        <f t="shared" si="175"/>
        <v>-104.34958331383513</v>
      </c>
      <c r="S398" s="346">
        <f t="shared" si="176"/>
        <v>75.650416686164874</v>
      </c>
      <c r="U398" s="319">
        <f t="shared" ref="U398:U461" si="182">IF(Q398&lt;0,A398,1000000000)</f>
        <v>1000000000</v>
      </c>
      <c r="V398" s="319">
        <f t="shared" ref="V398:V461" si="183">A398^2</f>
        <v>1273615500.0625</v>
      </c>
      <c r="X398" s="345">
        <f t="shared" si="177"/>
        <v>39.163943888029848</v>
      </c>
      <c r="Y398" s="346">
        <f t="shared" si="178"/>
        <v>-16.313314418984135</v>
      </c>
      <c r="AA398" s="345">
        <f t="shared" si="179"/>
        <v>22.23616339119274</v>
      </c>
      <c r="AB398" s="346">
        <f t="shared" si="180"/>
        <v>-88.036268894850977</v>
      </c>
      <c r="AD398">
        <f t="shared" ref="AD398:AD461" si="184">SUM((Q399&lt;0)*(Q398&gt;0))*A398</f>
        <v>0</v>
      </c>
      <c r="AE398">
        <f t="shared" si="161"/>
        <v>0</v>
      </c>
    </row>
    <row r="399" spans="1:31" x14ac:dyDescent="0.2">
      <c r="A399" s="347">
        <v>35894.5</v>
      </c>
      <c r="B399" s="364">
        <f t="shared" si="181"/>
        <v>35.894500000000001</v>
      </c>
      <c r="C399" s="337">
        <f t="shared" si="162"/>
        <v>88.696824358175618</v>
      </c>
      <c r="D399" s="338">
        <f t="shared" si="163"/>
        <v>1.5595217271274324</v>
      </c>
      <c r="E399" s="338">
        <f t="shared" si="164"/>
        <v>1.0022862930021135</v>
      </c>
      <c r="F399" s="339">
        <f t="shared" si="165"/>
        <v>6.7556576839635257E-2</v>
      </c>
      <c r="G399" s="338">
        <f t="shared" si="166"/>
        <v>1</v>
      </c>
      <c r="H399" s="339">
        <f t="shared" si="167"/>
        <v>0</v>
      </c>
      <c r="I399" s="337">
        <f t="shared" si="168"/>
        <v>4768.8135219059204</v>
      </c>
      <c r="J399" s="340">
        <f t="shared" si="169"/>
        <v>1.5705866310282799</v>
      </c>
      <c r="K399" s="348">
        <f t="shared" si="159"/>
        <v>5.670779548137161</v>
      </c>
      <c r="L399" s="349">
        <f t="shared" si="160"/>
        <v>1.3935267514697582</v>
      </c>
      <c r="M399" s="337">
        <f t="shared" si="170"/>
        <v>1.0057811571968576</v>
      </c>
      <c r="N399" s="340">
        <f t="shared" si="171"/>
        <v>0.10727014892521808</v>
      </c>
      <c r="O399" s="341">
        <f t="shared" si="172"/>
        <v>0.99970087470718538</v>
      </c>
      <c r="P399" s="342">
        <f t="shared" si="173"/>
        <v>4.4491552097766347E-2</v>
      </c>
      <c r="Q399" s="343">
        <f t="shared" si="174"/>
        <v>4.5153049360337603</v>
      </c>
      <c r="R399" s="344">
        <f t="shared" si="175"/>
        <v>-104.3233951914404</v>
      </c>
      <c r="S399" s="346">
        <f t="shared" si="176"/>
        <v>75.676604808559603</v>
      </c>
      <c r="U399" s="319">
        <f t="shared" si="182"/>
        <v>1000000000</v>
      </c>
      <c r="V399" s="319">
        <f t="shared" si="183"/>
        <v>1288415130.25</v>
      </c>
      <c r="X399" s="345">
        <f t="shared" si="177"/>
        <v>39.161802981839664</v>
      </c>
      <c r="Y399" s="346">
        <f t="shared" si="178"/>
        <v>-16.290910639567848</v>
      </c>
      <c r="AA399" s="345">
        <f t="shared" si="179"/>
        <v>22.186252112289104</v>
      </c>
      <c r="AB399" s="346">
        <f t="shared" si="180"/>
        <v>-88.032484551872571</v>
      </c>
      <c r="AD399">
        <f t="shared" si="184"/>
        <v>0</v>
      </c>
      <c r="AE399">
        <f t="shared" si="161"/>
        <v>0</v>
      </c>
    </row>
    <row r="400" spans="1:31" x14ac:dyDescent="0.2">
      <c r="A400" s="347">
        <v>36101.25</v>
      </c>
      <c r="B400" s="364">
        <f t="shared" si="181"/>
        <v>36.10125</v>
      </c>
      <c r="C400" s="337">
        <f t="shared" si="162"/>
        <v>89.207647580000611</v>
      </c>
      <c r="D400" s="338">
        <f t="shared" si="163"/>
        <v>1.5595862907544149</v>
      </c>
      <c r="E400" s="338">
        <f t="shared" si="164"/>
        <v>1.0023126761809269</v>
      </c>
      <c r="F400" s="339">
        <f t="shared" si="165"/>
        <v>6.7944505295474328E-2</v>
      </c>
      <c r="G400" s="338">
        <f t="shared" si="166"/>
        <v>1</v>
      </c>
      <c r="H400" s="339">
        <f t="shared" si="167"/>
        <v>0</v>
      </c>
      <c r="I400" s="337">
        <f t="shared" si="168"/>
        <v>4796.2815783609085</v>
      </c>
      <c r="J400" s="340">
        <f t="shared" si="169"/>
        <v>1.5705878319451037</v>
      </c>
      <c r="K400" s="348">
        <f t="shared" si="159"/>
        <v>5.7024299683918453</v>
      </c>
      <c r="L400" s="349">
        <f t="shared" si="160"/>
        <v>1.3945210068187193</v>
      </c>
      <c r="M400" s="337">
        <f t="shared" si="170"/>
        <v>1.0058477530243146</v>
      </c>
      <c r="N400" s="340">
        <f t="shared" si="171"/>
        <v>0.10788324855658202</v>
      </c>
      <c r="O400" s="341">
        <f t="shared" si="172"/>
        <v>0.99969742807828044</v>
      </c>
      <c r="P400" s="342">
        <f t="shared" si="173"/>
        <v>4.4748145636645427E-2</v>
      </c>
      <c r="Q400" s="343">
        <f t="shared" si="174"/>
        <v>4.4635653877987771</v>
      </c>
      <c r="R400" s="344">
        <f t="shared" si="175"/>
        <v>-104.29779967181277</v>
      </c>
      <c r="S400" s="346">
        <f t="shared" si="176"/>
        <v>75.702200328187232</v>
      </c>
      <c r="U400" s="319">
        <f t="shared" si="182"/>
        <v>1000000000</v>
      </c>
      <c r="V400" s="319">
        <f t="shared" si="183"/>
        <v>1303300251.5625</v>
      </c>
      <c r="X400" s="345">
        <f t="shared" si="177"/>
        <v>39.159685175610505</v>
      </c>
      <c r="Y400" s="346">
        <f t="shared" si="178"/>
        <v>-16.269140833052919</v>
      </c>
      <c r="AA400" s="345">
        <f t="shared" si="179"/>
        <v>22.136630370283278</v>
      </c>
      <c r="AB400" s="346">
        <f t="shared" si="180"/>
        <v>-88.028658838759839</v>
      </c>
      <c r="AD400">
        <f t="shared" si="184"/>
        <v>0</v>
      </c>
      <c r="AE400">
        <f t="shared" si="161"/>
        <v>0</v>
      </c>
    </row>
    <row r="401" spans="1:31" x14ac:dyDescent="0.2">
      <c r="A401" s="347">
        <v>36308</v>
      </c>
      <c r="B401" s="364">
        <f t="shared" si="181"/>
        <v>36.308</v>
      </c>
      <c r="C401" s="337">
        <f t="shared" si="162"/>
        <v>89.718471169449842</v>
      </c>
      <c r="D401" s="338">
        <f t="shared" si="163"/>
        <v>1.5596501191791265</v>
      </c>
      <c r="E401" s="338">
        <f t="shared" si="164"/>
        <v>1.0023392101883046</v>
      </c>
      <c r="F401" s="339">
        <f t="shared" si="165"/>
        <v>6.8332413271137482E-2</v>
      </c>
      <c r="G401" s="338">
        <f t="shared" si="166"/>
        <v>1</v>
      </c>
      <c r="H401" s="339">
        <f t="shared" si="167"/>
        <v>0</v>
      </c>
      <c r="I401" s="337">
        <f t="shared" si="168"/>
        <v>4823.749634822736</v>
      </c>
      <c r="J401" s="340">
        <f t="shared" si="169"/>
        <v>1.5705890191850771</v>
      </c>
      <c r="K401" s="348">
        <f t="shared" si="159"/>
        <v>5.7340859635143273</v>
      </c>
      <c r="L401" s="349">
        <f t="shared" si="160"/>
        <v>1.3955042852198443</v>
      </c>
      <c r="M401" s="337">
        <f t="shared" si="170"/>
        <v>1.005914726890903</v>
      </c>
      <c r="N401" s="340">
        <f t="shared" si="171"/>
        <v>0.10849626677792358</v>
      </c>
      <c r="O401" s="341">
        <f t="shared" si="172"/>
        <v>0.9996939618655879</v>
      </c>
      <c r="P401" s="342">
        <f t="shared" si="173"/>
        <v>4.5004744775321646E-2</v>
      </c>
      <c r="Q401" s="343">
        <f t="shared" si="174"/>
        <v>4.4121346058573314</v>
      </c>
      <c r="R401" s="344">
        <f t="shared" si="175"/>
        <v>-104.2727870071774</v>
      </c>
      <c r="S401" s="346">
        <f t="shared" si="176"/>
        <v>75.727212992822601</v>
      </c>
      <c r="U401" s="319">
        <f t="shared" si="182"/>
        <v>1000000000</v>
      </c>
      <c r="V401" s="319">
        <f t="shared" si="183"/>
        <v>1318270864</v>
      </c>
      <c r="X401" s="345">
        <f t="shared" si="177"/>
        <v>39.157589887849802</v>
      </c>
      <c r="Y401" s="346">
        <f t="shared" si="178"/>
        <v>-16.247994511245167</v>
      </c>
      <c r="AA401" s="345">
        <f t="shared" si="179"/>
        <v>22.087294876102529</v>
      </c>
      <c r="AB401" s="346">
        <f t="shared" si="180"/>
        <v>-88.024792495932246</v>
      </c>
      <c r="AD401">
        <f t="shared" si="184"/>
        <v>0</v>
      </c>
      <c r="AE401">
        <f t="shared" si="161"/>
        <v>0</v>
      </c>
    </row>
    <row r="402" spans="1:31" x14ac:dyDescent="0.2">
      <c r="A402" s="347">
        <v>36519.5</v>
      </c>
      <c r="B402" s="364">
        <f t="shared" si="181"/>
        <v>36.519500000000001</v>
      </c>
      <c r="C402" s="337">
        <f t="shared" si="162"/>
        <v>90.241031104000839</v>
      </c>
      <c r="D402" s="338">
        <f t="shared" si="163"/>
        <v>1.5597146663211754</v>
      </c>
      <c r="E402" s="338">
        <f t="shared" si="164"/>
        <v>1.0023665098577959</v>
      </c>
      <c r="F402" s="339">
        <f t="shared" si="165"/>
        <v>6.8729211968714746E-2</v>
      </c>
      <c r="G402" s="338">
        <f t="shared" si="166"/>
        <v>1</v>
      </c>
      <c r="H402" s="339">
        <f t="shared" si="167"/>
        <v>0</v>
      </c>
      <c r="I402" s="337">
        <f t="shared" si="168"/>
        <v>4851.8487590941486</v>
      </c>
      <c r="J402" s="340">
        <f t="shared" si="169"/>
        <v>1.5705902197918278</v>
      </c>
      <c r="K402" s="348">
        <f t="shared" si="159"/>
        <v>5.76647491541575</v>
      </c>
      <c r="L402" s="349">
        <f t="shared" si="160"/>
        <v>1.3964989824482663</v>
      </c>
      <c r="M402" s="337">
        <f t="shared" si="170"/>
        <v>1.0059836305438821</v>
      </c>
      <c r="N402" s="340">
        <f t="shared" si="171"/>
        <v>0.10912328415155918</v>
      </c>
      <c r="O402" s="341">
        <f t="shared" si="172"/>
        <v>0.99969039575796259</v>
      </c>
      <c r="P402" s="342">
        <f t="shared" si="173"/>
        <v>4.5267245006022229E-2</v>
      </c>
      <c r="Q402" s="343">
        <f t="shared" si="174"/>
        <v>4.3598377501759629</v>
      </c>
      <c r="R402" s="344">
        <f t="shared" si="175"/>
        <v>-104.24779283642917</v>
      </c>
      <c r="S402" s="346">
        <f t="shared" si="176"/>
        <v>75.75220716357083</v>
      </c>
      <c r="U402" s="319">
        <f t="shared" si="182"/>
        <v>1000000000</v>
      </c>
      <c r="V402" s="319">
        <f t="shared" si="183"/>
        <v>1333673880.25</v>
      </c>
      <c r="X402" s="345">
        <f t="shared" si="177"/>
        <v>39.155469172561418</v>
      </c>
      <c r="Y402" s="346">
        <f t="shared" si="178"/>
        <v>-16.226996797029596</v>
      </c>
      <c r="AA402" s="345">
        <f t="shared" si="179"/>
        <v>22.037118735709555</v>
      </c>
      <c r="AB402" s="346">
        <f t="shared" si="180"/>
        <v>-88.020796039399599</v>
      </c>
      <c r="AD402">
        <f t="shared" si="184"/>
        <v>0</v>
      </c>
      <c r="AE402">
        <f t="shared" si="161"/>
        <v>0</v>
      </c>
    </row>
    <row r="403" spans="1:31" x14ac:dyDescent="0.2">
      <c r="A403" s="347">
        <v>36731</v>
      </c>
      <c r="B403" s="364">
        <f t="shared" si="181"/>
        <v>36.731000000000002</v>
      </c>
      <c r="C403" s="337">
        <f t="shared" si="162"/>
        <v>90.76359141019681</v>
      </c>
      <c r="D403" s="338">
        <f t="shared" si="163"/>
        <v>1.5597784702188939</v>
      </c>
      <c r="E403" s="338">
        <f t="shared" si="164"/>
        <v>1.0023939673404876</v>
      </c>
      <c r="F403" s="339">
        <f t="shared" si="165"/>
        <v>6.9125988990615075E-2</v>
      </c>
      <c r="G403" s="338">
        <f t="shared" si="166"/>
        <v>1</v>
      </c>
      <c r="H403" s="339">
        <f t="shared" si="167"/>
        <v>0</v>
      </c>
      <c r="I403" s="337">
        <f t="shared" si="168"/>
        <v>4879.9478833724725</v>
      </c>
      <c r="J403" s="340">
        <f t="shared" si="169"/>
        <v>1.570591406572202</v>
      </c>
      <c r="K403" s="348">
        <f t="shared" si="159"/>
        <v>5.7988695090596929</v>
      </c>
      <c r="L403" s="349">
        <f t="shared" si="160"/>
        <v>1.3974825671600162</v>
      </c>
      <c r="M403" s="337">
        <f t="shared" si="170"/>
        <v>1.0060529296458511</v>
      </c>
      <c r="N403" s="340">
        <f t="shared" si="171"/>
        <v>0.10975021539101909</v>
      </c>
      <c r="O403" s="341">
        <f t="shared" si="172"/>
        <v>0.99968680916407537</v>
      </c>
      <c r="P403" s="342">
        <f t="shared" si="173"/>
        <v>4.5529751164593832E-2</v>
      </c>
      <c r="Q403" s="343">
        <f t="shared" si="174"/>
        <v>4.3078560459470907</v>
      </c>
      <c r="R403" s="344">
        <f t="shared" si="175"/>
        <v>-104.22338863547249</v>
      </c>
      <c r="S403" s="346">
        <f t="shared" si="176"/>
        <v>75.776611364527511</v>
      </c>
      <c r="U403" s="319">
        <f t="shared" si="182"/>
        <v>1000000000</v>
      </c>
      <c r="V403" s="319">
        <f t="shared" si="183"/>
        <v>1349166361</v>
      </c>
      <c r="X403" s="345">
        <f t="shared" si="177"/>
        <v>39.153370841890634</v>
      </c>
      <c r="Y403" s="346">
        <f t="shared" si="178"/>
        <v>-16.206630055802066</v>
      </c>
      <c r="AA403" s="345">
        <f t="shared" si="179"/>
        <v>21.987235362151463</v>
      </c>
      <c r="AB403" s="346">
        <f t="shared" si="180"/>
        <v>-88.016758579670423</v>
      </c>
      <c r="AD403">
        <f t="shared" si="184"/>
        <v>0</v>
      </c>
      <c r="AE403">
        <f t="shared" si="161"/>
        <v>0</v>
      </c>
    </row>
    <row r="404" spans="1:31" x14ac:dyDescent="0.2">
      <c r="A404" s="347">
        <v>36942.5</v>
      </c>
      <c r="B404" s="364">
        <f t="shared" si="181"/>
        <v>36.942500000000003</v>
      </c>
      <c r="C404" s="337">
        <f t="shared" si="162"/>
        <v>91.286152081655416</v>
      </c>
      <c r="D404" s="338">
        <f t="shared" si="163"/>
        <v>1.5598415436356956</v>
      </c>
      <c r="E404" s="338">
        <f t="shared" si="164"/>
        <v>1.0024215826234122</v>
      </c>
      <c r="F404" s="339">
        <f t="shared" si="165"/>
        <v>6.9522744213693963E-2</v>
      </c>
      <c r="G404" s="338">
        <f t="shared" si="166"/>
        <v>1</v>
      </c>
      <c r="H404" s="339">
        <f t="shared" si="167"/>
        <v>0</v>
      </c>
      <c r="I404" s="337">
        <f t="shared" si="168"/>
        <v>4908.0470076575921</v>
      </c>
      <c r="J404" s="340">
        <f t="shared" si="169"/>
        <v>1.5705925797636724</v>
      </c>
      <c r="K404" s="348">
        <f t="shared" si="159"/>
        <v>5.8312696504210297</v>
      </c>
      <c r="L404" s="349">
        <f t="shared" si="160"/>
        <v>1.3984552226685592</v>
      </c>
      <c r="M404" s="337">
        <f t="shared" si="170"/>
        <v>1.0061226241150976</v>
      </c>
      <c r="N404" s="340">
        <f t="shared" si="171"/>
        <v>0.11037706002133096</v>
      </c>
      <c r="O404" s="341">
        <f t="shared" si="172"/>
        <v>0.99968320208786532</v>
      </c>
      <c r="P404" s="342">
        <f t="shared" si="173"/>
        <v>4.5792263285326394E-2</v>
      </c>
      <c r="Q404" s="343">
        <f t="shared" si="174"/>
        <v>4.2561855775707125</v>
      </c>
      <c r="R404" s="344">
        <f t="shared" si="175"/>
        <v>-104.19956462792176</v>
      </c>
      <c r="S404" s="346">
        <f t="shared" si="176"/>
        <v>75.80043537207824</v>
      </c>
      <c r="U404" s="319">
        <f t="shared" si="182"/>
        <v>1000000000</v>
      </c>
      <c r="V404" s="319">
        <f t="shared" si="183"/>
        <v>1364748306.25</v>
      </c>
      <c r="X404" s="345">
        <f t="shared" si="177"/>
        <v>39.15129432349994</v>
      </c>
      <c r="Y404" s="346">
        <f t="shared" si="178"/>
        <v>-16.186883770866967</v>
      </c>
      <c r="AA404" s="345">
        <f t="shared" si="179"/>
        <v>21.937641412165778</v>
      </c>
      <c r="AB404" s="346">
        <f t="shared" si="180"/>
        <v>-88.012680857054789</v>
      </c>
      <c r="AD404">
        <f t="shared" si="184"/>
        <v>0</v>
      </c>
      <c r="AE404">
        <f t="shared" si="161"/>
        <v>0</v>
      </c>
    </row>
    <row r="405" spans="1:31" x14ac:dyDescent="0.2">
      <c r="A405" s="347">
        <v>37154</v>
      </c>
      <c r="B405" s="364">
        <f t="shared" si="181"/>
        <v>37.154000000000003</v>
      </c>
      <c r="C405" s="337">
        <f t="shared" si="162"/>
        <v>91.808713112139614</v>
      </c>
      <c r="D405" s="338">
        <f t="shared" si="163"/>
        <v>1.5599038990444285</v>
      </c>
      <c r="E405" s="338">
        <f t="shared" si="164"/>
        <v>1.0024493556935281</v>
      </c>
      <c r="F405" s="339">
        <f t="shared" si="165"/>
        <v>6.991947751484795E-2</v>
      </c>
      <c r="G405" s="338">
        <f t="shared" si="166"/>
        <v>1</v>
      </c>
      <c r="H405" s="339">
        <f t="shared" si="167"/>
        <v>0</v>
      </c>
      <c r="I405" s="337">
        <f t="shared" si="168"/>
        <v>4936.1461319493892</v>
      </c>
      <c r="J405" s="340">
        <f t="shared" si="169"/>
        <v>1.5705937395983045</v>
      </c>
      <c r="K405" s="348">
        <f t="shared" si="159"/>
        <v>5.8636752475368761</v>
      </c>
      <c r="L405" s="349">
        <f t="shared" si="160"/>
        <v>1.3994171283187959</v>
      </c>
      <c r="M405" s="337">
        <f t="shared" si="170"/>
        <v>1.0061927138694655</v>
      </c>
      <c r="N405" s="340">
        <f t="shared" si="171"/>
        <v>0.11100381756792595</v>
      </c>
      <c r="O405" s="341">
        <f t="shared" si="172"/>
        <v>0.99967957453329404</v>
      </c>
      <c r="P405" s="342">
        <f t="shared" si="173"/>
        <v>4.6054781402509147E-2</v>
      </c>
      <c r="Q405" s="343">
        <f t="shared" si="174"/>
        <v>4.2048225024887014</v>
      </c>
      <c r="R405" s="344">
        <f t="shared" si="175"/>
        <v>-104.17631124783614</v>
      </c>
      <c r="S405" s="346">
        <f t="shared" si="176"/>
        <v>75.823688752163861</v>
      </c>
      <c r="U405" s="319">
        <f t="shared" si="182"/>
        <v>1000000000</v>
      </c>
      <c r="V405" s="319">
        <f t="shared" si="183"/>
        <v>1380419716</v>
      </c>
      <c r="X405" s="345">
        <f t="shared" si="177"/>
        <v>39.149239060868702</v>
      </c>
      <c r="Y405" s="346">
        <f t="shared" si="178"/>
        <v>-16.167747652623969</v>
      </c>
      <c r="AA405" s="345">
        <f t="shared" si="179"/>
        <v>21.888333599715008</v>
      </c>
      <c r="AB405" s="346">
        <f t="shared" si="180"/>
        <v>-88.008563595212166</v>
      </c>
      <c r="AD405">
        <f t="shared" si="184"/>
        <v>0</v>
      </c>
      <c r="AE405">
        <f t="shared" si="161"/>
        <v>0</v>
      </c>
    </row>
    <row r="406" spans="1:31" x14ac:dyDescent="0.2">
      <c r="A406" s="347">
        <v>37370.25</v>
      </c>
      <c r="B406" s="364">
        <f t="shared" si="181"/>
        <v>37.370249999999999</v>
      </c>
      <c r="C406" s="337">
        <f t="shared" si="162"/>
        <v>92.343010511716358</v>
      </c>
      <c r="D406" s="338">
        <f t="shared" si="163"/>
        <v>1.5599669251897756</v>
      </c>
      <c r="E406" s="338">
        <f t="shared" si="164"/>
        <v>1.0024779156375665</v>
      </c>
      <c r="F406" s="339">
        <f t="shared" si="165"/>
        <v>7.0325098107812206E-2</v>
      </c>
      <c r="G406" s="338">
        <f t="shared" si="166"/>
        <v>1</v>
      </c>
      <c r="H406" s="339">
        <f t="shared" si="167"/>
        <v>0</v>
      </c>
      <c r="I406" s="337">
        <f t="shared" si="168"/>
        <v>4964.876324051218</v>
      </c>
      <c r="J406" s="340">
        <f t="shared" si="169"/>
        <v>1.5705949119072957</v>
      </c>
      <c r="K406" s="348">
        <f t="shared" si="159"/>
        <v>5.896814177159925</v>
      </c>
      <c r="L406" s="349">
        <f t="shared" si="160"/>
        <v>1.4003897051151009</v>
      </c>
      <c r="M406" s="337">
        <f t="shared" si="170"/>
        <v>1.0062647863587211</v>
      </c>
      <c r="N406" s="340">
        <f t="shared" si="171"/>
        <v>0.11164456069635895</v>
      </c>
      <c r="O406" s="341">
        <f t="shared" si="172"/>
        <v>0.99967584433957202</v>
      </c>
      <c r="P406" s="342">
        <f t="shared" si="173"/>
        <v>4.6323201552338072E-2</v>
      </c>
      <c r="Q406" s="343">
        <f t="shared" si="174"/>
        <v>4.152619781317803</v>
      </c>
      <c r="R406" s="344">
        <f t="shared" si="175"/>
        <v>-104.15311587328607</v>
      </c>
      <c r="S406" s="346">
        <f t="shared" si="176"/>
        <v>75.846884126713931</v>
      </c>
      <c r="U406" s="319">
        <f t="shared" si="182"/>
        <v>1000000000</v>
      </c>
      <c r="V406" s="319">
        <f t="shared" si="183"/>
        <v>1396535585.0625</v>
      </c>
      <c r="X406" s="345">
        <f t="shared" si="177"/>
        <v>39.14715905334738</v>
      </c>
      <c r="Y406" s="346">
        <f t="shared" si="178"/>
        <v>-16.148802152290394</v>
      </c>
      <c r="AA406" s="345">
        <f t="shared" si="179"/>
        <v>21.838210886065429</v>
      </c>
      <c r="AB406" s="346">
        <f t="shared" si="180"/>
        <v>-88.004313720995697</v>
      </c>
      <c r="AD406">
        <f t="shared" si="184"/>
        <v>0</v>
      </c>
      <c r="AE406">
        <f t="shared" si="161"/>
        <v>0</v>
      </c>
    </row>
    <row r="407" spans="1:31" x14ac:dyDescent="0.2">
      <c r="A407" s="347">
        <v>37586.5</v>
      </c>
      <c r="B407" s="364">
        <f t="shared" si="181"/>
        <v>37.586500000000001</v>
      </c>
      <c r="C407" s="337">
        <f t="shared" si="162"/>
        <v>92.877308273886428</v>
      </c>
      <c r="D407" s="338">
        <f t="shared" si="163"/>
        <v>1.5600292261910016</v>
      </c>
      <c r="E407" s="338">
        <f t="shared" si="164"/>
        <v>1.0025066405079439</v>
      </c>
      <c r="F407" s="339">
        <f t="shared" si="165"/>
        <v>7.073069552297323E-2</v>
      </c>
      <c r="G407" s="338">
        <f t="shared" si="166"/>
        <v>1</v>
      </c>
      <c r="H407" s="339">
        <f t="shared" si="167"/>
        <v>0</v>
      </c>
      <c r="I407" s="337">
        <f t="shared" si="168"/>
        <v>4993.6065161597908</v>
      </c>
      <c r="J407" s="340">
        <f t="shared" si="169"/>
        <v>1.5705960707267728</v>
      </c>
      <c r="K407" s="348">
        <f t="shared" ref="K407:K470" si="185">SQRT(1+(A407/Zero2)^2)</f>
        <v>5.9299586222674225</v>
      </c>
      <c r="L407" s="349">
        <f t="shared" ref="L407:L470" si="186">ATAN(A407/Zero2)</f>
        <v>1.4013514107238754</v>
      </c>
      <c r="M407" s="337">
        <f t="shared" si="170"/>
        <v>1.0063372719124788</v>
      </c>
      <c r="N407" s="340">
        <f t="shared" si="171"/>
        <v>0.11228521178349729</v>
      </c>
      <c r="O407" s="341">
        <f t="shared" si="172"/>
        <v>0.99967209274577729</v>
      </c>
      <c r="P407" s="342">
        <f t="shared" si="173"/>
        <v>4.6591628043481964E-2</v>
      </c>
      <c r="Q407" s="343">
        <f t="shared" si="174"/>
        <v>4.1007305172804989</v>
      </c>
      <c r="R407" s="344">
        <f t="shared" si="175"/>
        <v>-104.13049746905374</v>
      </c>
      <c r="S407" s="346">
        <f t="shared" si="176"/>
        <v>75.869502530946264</v>
      </c>
      <c r="U407" s="319">
        <f t="shared" si="182"/>
        <v>1000000000</v>
      </c>
      <c r="V407" s="319">
        <f t="shared" si="183"/>
        <v>1412744982.25</v>
      </c>
      <c r="X407" s="345">
        <f t="shared" si="177"/>
        <v>39.145100138793211</v>
      </c>
      <c r="Y407" s="346">
        <f t="shared" si="178"/>
        <v>-16.130473478651364</v>
      </c>
      <c r="AA407" s="345">
        <f t="shared" si="179"/>
        <v>21.788380536582295</v>
      </c>
      <c r="AB407" s="346">
        <f t="shared" si="180"/>
        <v>-88.000023990402397</v>
      </c>
      <c r="AD407">
        <f t="shared" si="184"/>
        <v>0</v>
      </c>
      <c r="AE407">
        <f t="shared" si="161"/>
        <v>0</v>
      </c>
    </row>
    <row r="408" spans="1:31" x14ac:dyDescent="0.2">
      <c r="A408" s="347">
        <v>37802.75</v>
      </c>
      <c r="B408" s="364">
        <f t="shared" si="181"/>
        <v>37.802750000000003</v>
      </c>
      <c r="C408" s="337">
        <f t="shared" si="162"/>
        <v>93.411606392427913</v>
      </c>
      <c r="D408" s="338">
        <f t="shared" si="163"/>
        <v>1.5600908144907131</v>
      </c>
      <c r="E408" s="338">
        <f t="shared" si="164"/>
        <v>1.0025355302904835</v>
      </c>
      <c r="F408" s="339">
        <f t="shared" si="165"/>
        <v>7.1136269628879978E-2</v>
      </c>
      <c r="G408" s="338">
        <f t="shared" si="166"/>
        <v>1</v>
      </c>
      <c r="H408" s="339">
        <f t="shared" si="167"/>
        <v>0</v>
      </c>
      <c r="I408" s="337">
        <f t="shared" si="168"/>
        <v>5022.3367082749928</v>
      </c>
      <c r="J408" s="340">
        <f t="shared" si="169"/>
        <v>1.5705972162882356</v>
      </c>
      <c r="K408" s="348">
        <f t="shared" si="185"/>
        <v>5.9631084908900549</v>
      </c>
      <c r="L408" s="349">
        <f t="shared" si="186"/>
        <v>1.402302424655185</v>
      </c>
      <c r="M408" s="337">
        <f t="shared" si="170"/>
        <v>1.006410170441487</v>
      </c>
      <c r="N408" s="340">
        <f t="shared" si="171"/>
        <v>0.11292577032339579</v>
      </c>
      <c r="O408" s="341">
        <f t="shared" si="172"/>
        <v>0.9996683197562185</v>
      </c>
      <c r="P408" s="342">
        <f t="shared" si="173"/>
        <v>4.6860060912590214E-2</v>
      </c>
      <c r="Q408" s="343">
        <f t="shared" si="174"/>
        <v>4.0491508282785507</v>
      </c>
      <c r="R408" s="344">
        <f t="shared" si="175"/>
        <v>-104.1084464567857</v>
      </c>
      <c r="S408" s="346">
        <f t="shared" si="176"/>
        <v>75.8915535432143</v>
      </c>
      <c r="U408" s="319">
        <f t="shared" si="182"/>
        <v>1000000000</v>
      </c>
      <c r="V408" s="319">
        <f t="shared" si="183"/>
        <v>1429047907.5625</v>
      </c>
      <c r="X408" s="345">
        <f t="shared" si="177"/>
        <v>39.143061770329773</v>
      </c>
      <c r="Y408" s="346">
        <f t="shared" si="178"/>
        <v>-16.112751330813168</v>
      </c>
      <c r="AA408" s="345">
        <f t="shared" si="179"/>
        <v>21.738839216043786</v>
      </c>
      <c r="AB408" s="346">
        <f t="shared" si="180"/>
        <v>-87.995695125972546</v>
      </c>
      <c r="AD408">
        <f t="shared" si="184"/>
        <v>0</v>
      </c>
      <c r="AE408">
        <f t="shared" si="161"/>
        <v>0</v>
      </c>
    </row>
    <row r="409" spans="1:31" x14ac:dyDescent="0.2">
      <c r="A409" s="347">
        <v>38019</v>
      </c>
      <c r="B409" s="364">
        <f t="shared" si="181"/>
        <v>38.018999999999998</v>
      </c>
      <c r="C409" s="337">
        <f t="shared" si="162"/>
        <v>93.945904861260445</v>
      </c>
      <c r="D409" s="338">
        <f t="shared" si="163"/>
        <v>1.5601517022484788</v>
      </c>
      <c r="E409" s="338">
        <f t="shared" si="164"/>
        <v>1.0025645849709288</v>
      </c>
      <c r="F409" s="339">
        <f t="shared" si="165"/>
        <v>7.1541820294127256E-2</v>
      </c>
      <c r="G409" s="338">
        <f t="shared" si="166"/>
        <v>1</v>
      </c>
      <c r="H409" s="339">
        <f t="shared" si="167"/>
        <v>0</v>
      </c>
      <c r="I409" s="337">
        <f t="shared" si="168"/>
        <v>5051.0669003967114</v>
      </c>
      <c r="J409" s="340">
        <f t="shared" si="169"/>
        <v>1.5705983488179163</v>
      </c>
      <c r="K409" s="348">
        <f t="shared" si="185"/>
        <v>5.9962636930773998</v>
      </c>
      <c r="L409" s="349">
        <f t="shared" si="186"/>
        <v>1.4032429225271648</v>
      </c>
      <c r="M409" s="337">
        <f t="shared" si="170"/>
        <v>1.0064834818560113</v>
      </c>
      <c r="N409" s="340">
        <f t="shared" si="171"/>
        <v>0.11356623581055926</v>
      </c>
      <c r="O409" s="341">
        <f t="shared" si="172"/>
        <v>0.9996645253752291</v>
      </c>
      <c r="P409" s="342">
        <f t="shared" si="173"/>
        <v>4.7128500196311436E-2</v>
      </c>
      <c r="Q409" s="343">
        <f t="shared" si="174"/>
        <v>3.9978769043827773</v>
      </c>
      <c r="R409" s="344">
        <f t="shared" si="175"/>
        <v>-104.08695346462412</v>
      </c>
      <c r="S409" s="346">
        <f t="shared" si="176"/>
        <v>75.913046535375884</v>
      </c>
      <c r="U409" s="319">
        <f t="shared" si="182"/>
        <v>1000000000</v>
      </c>
      <c r="V409" s="319">
        <f t="shared" si="183"/>
        <v>1445444361</v>
      </c>
      <c r="X409" s="345">
        <f t="shared" si="177"/>
        <v>39.141043416207722</v>
      </c>
      <c r="Y409" s="346">
        <f t="shared" si="178"/>
        <v>-16.095625630597254</v>
      </c>
      <c r="AA409" s="345">
        <f t="shared" si="179"/>
        <v>21.689583646270059</v>
      </c>
      <c r="AB409" s="346">
        <f t="shared" si="180"/>
        <v>-87.99132783402689</v>
      </c>
      <c r="AD409">
        <f t="shared" si="184"/>
        <v>0</v>
      </c>
      <c r="AE409">
        <f t="shared" si="161"/>
        <v>0</v>
      </c>
    </row>
    <row r="410" spans="1:31" x14ac:dyDescent="0.2">
      <c r="A410" s="347">
        <v>38240.5</v>
      </c>
      <c r="B410" s="364">
        <f t="shared" si="181"/>
        <v>38.240499999999997</v>
      </c>
      <c r="C410" s="337">
        <f t="shared" si="162"/>
        <v>94.493175094947361</v>
      </c>
      <c r="D410" s="338">
        <f t="shared" si="163"/>
        <v>1.5602133543655123</v>
      </c>
      <c r="E410" s="338">
        <f t="shared" si="164"/>
        <v>1.0025945159615899</v>
      </c>
      <c r="F410" s="339">
        <f t="shared" si="165"/>
        <v>7.1957192259598332E-2</v>
      </c>
      <c r="G410" s="338">
        <f t="shared" si="166"/>
        <v>1</v>
      </c>
      <c r="H410" s="339">
        <f t="shared" si="167"/>
        <v>0</v>
      </c>
      <c r="I410" s="337">
        <f t="shared" si="168"/>
        <v>5080.4945885187753</v>
      </c>
      <c r="J410" s="340">
        <f t="shared" si="169"/>
        <v>1.5705994955634026</v>
      </c>
      <c r="K410" s="348">
        <f t="shared" si="185"/>
        <v>6.0302292566708111</v>
      </c>
      <c r="L410" s="349">
        <f t="shared" si="186"/>
        <v>1.4041955307384602</v>
      </c>
      <c r="M410" s="337">
        <f t="shared" si="170"/>
        <v>1.0065590010338441</v>
      </c>
      <c r="N410" s="340">
        <f t="shared" si="171"/>
        <v>0.11422215317422066</v>
      </c>
      <c r="O410" s="341">
        <f t="shared" si="172"/>
        <v>0.99966061670414641</v>
      </c>
      <c r="P410" s="342">
        <f t="shared" si="173"/>
        <v>4.7403463191505339E-2</v>
      </c>
      <c r="Q410" s="343">
        <f t="shared" si="174"/>
        <v>3.9456712622689984</v>
      </c>
      <c r="R410" s="344">
        <f t="shared" si="175"/>
        <v>-104.065507599588</v>
      </c>
      <c r="S410" s="346">
        <f t="shared" si="176"/>
        <v>75.934492400411997</v>
      </c>
      <c r="U410" s="319">
        <f t="shared" si="182"/>
        <v>1000000000</v>
      </c>
      <c r="V410" s="319">
        <f t="shared" si="183"/>
        <v>1462335840.25</v>
      </c>
      <c r="X410" s="345">
        <f t="shared" si="177"/>
        <v>39.138996270317172</v>
      </c>
      <c r="Y410" s="346">
        <f t="shared" si="178"/>
        <v>-16.078692200864857</v>
      </c>
      <c r="AA410" s="345">
        <f t="shared" si="179"/>
        <v>21.639425150046829</v>
      </c>
      <c r="AB410" s="346">
        <f t="shared" si="180"/>
        <v>-87.986815398723138</v>
      </c>
      <c r="AD410">
        <f t="shared" si="184"/>
        <v>0</v>
      </c>
      <c r="AE410">
        <f t="shared" ref="AE410:AE473" si="187">IF(AD410&gt;0,S410,0)</f>
        <v>0</v>
      </c>
    </row>
    <row r="411" spans="1:31" x14ac:dyDescent="0.2">
      <c r="A411" s="347">
        <v>38462</v>
      </c>
      <c r="B411" s="364">
        <f t="shared" si="181"/>
        <v>38.462000000000003</v>
      </c>
      <c r="C411" s="337">
        <f t="shared" si="162"/>
        <v>95.040445683664899</v>
      </c>
      <c r="D411" s="338">
        <f t="shared" si="163"/>
        <v>1.5602742964610545</v>
      </c>
      <c r="E411" s="338">
        <f t="shared" si="164"/>
        <v>1.002624619923417</v>
      </c>
      <c r="F411" s="339">
        <f t="shared" si="165"/>
        <v>7.2372539353510151E-2</v>
      </c>
      <c r="G411" s="338">
        <f t="shared" si="166"/>
        <v>1</v>
      </c>
      <c r="H411" s="339">
        <f t="shared" si="167"/>
        <v>0</v>
      </c>
      <c r="I411" s="337">
        <f t="shared" si="168"/>
        <v>5109.9222766474441</v>
      </c>
      <c r="J411" s="340">
        <f t="shared" si="169"/>
        <v>1.5706006291008332</v>
      </c>
      <c r="K411" s="348">
        <f t="shared" si="185"/>
        <v>6.0642002311680692</v>
      </c>
      <c r="L411" s="349">
        <f t="shared" si="186"/>
        <v>1.4051374669862955</v>
      </c>
      <c r="M411" s="337">
        <f t="shared" si="170"/>
        <v>1.0066349531960432</v>
      </c>
      <c r="N411" s="340">
        <f t="shared" si="171"/>
        <v>0.11487797184004135</v>
      </c>
      <c r="O411" s="341">
        <f t="shared" si="172"/>
        <v>0.99965668559965004</v>
      </c>
      <c r="P411" s="342">
        <f t="shared" si="173"/>
        <v>4.7678432994384103E-2</v>
      </c>
      <c r="Q411" s="343">
        <f t="shared" si="174"/>
        <v>3.8937785449123434</v>
      </c>
      <c r="R411" s="344">
        <f t="shared" si="175"/>
        <v>-104.0446279151345</v>
      </c>
      <c r="S411" s="346">
        <f t="shared" si="176"/>
        <v>75.955372084865502</v>
      </c>
      <c r="U411" s="319">
        <f t="shared" si="182"/>
        <v>1000000000</v>
      </c>
      <c r="V411" s="319">
        <f t="shared" si="183"/>
        <v>1479325444</v>
      </c>
      <c r="X411" s="345">
        <f t="shared" si="177"/>
        <v>39.136969039577096</v>
      </c>
      <c r="Y411" s="346">
        <f t="shared" si="178"/>
        <v>-16.06236381786297</v>
      </c>
      <c r="AA411" s="345">
        <f t="shared" si="179"/>
        <v>21.589559663430254</v>
      </c>
      <c r="AB411" s="346">
        <f t="shared" si="180"/>
        <v>-87.982264097271511</v>
      </c>
      <c r="AD411">
        <f t="shared" si="184"/>
        <v>0</v>
      </c>
      <c r="AE411">
        <f t="shared" si="187"/>
        <v>0</v>
      </c>
    </row>
    <row r="412" spans="1:31" x14ac:dyDescent="0.2">
      <c r="A412" s="347">
        <v>38683.5</v>
      </c>
      <c r="B412" s="364">
        <f t="shared" si="181"/>
        <v>38.683500000000002</v>
      </c>
      <c r="C412" s="337">
        <f t="shared" si="162"/>
        <v>95.587716621315082</v>
      </c>
      <c r="D412" s="338">
        <f t="shared" si="163"/>
        <v>1.5603345407299647</v>
      </c>
      <c r="E412" s="338">
        <f t="shared" si="164"/>
        <v>1.0026548968408304</v>
      </c>
      <c r="F412" s="339">
        <f t="shared" si="165"/>
        <v>7.2787861434803716E-2</v>
      </c>
      <c r="G412" s="338">
        <f t="shared" si="166"/>
        <v>1</v>
      </c>
      <c r="H412" s="339">
        <f t="shared" si="167"/>
        <v>0</v>
      </c>
      <c r="I412" s="337">
        <f t="shared" si="168"/>
        <v>5139.349964782602</v>
      </c>
      <c r="J412" s="340">
        <f t="shared" si="169"/>
        <v>1.5706017496570948</v>
      </c>
      <c r="K412" s="348">
        <f t="shared" si="185"/>
        <v>6.0981765261419731</v>
      </c>
      <c r="L412" s="349">
        <f t="shared" si="186"/>
        <v>1.4060689079632258</v>
      </c>
      <c r="M412" s="337">
        <f t="shared" si="170"/>
        <v>1.0067113382446082</v>
      </c>
      <c r="N412" s="340">
        <f t="shared" si="171"/>
        <v>0.11553369126629172</v>
      </c>
      <c r="O412" s="341">
        <f t="shared" si="172"/>
        <v>0.99965273206647809</v>
      </c>
      <c r="P412" s="342">
        <f t="shared" si="173"/>
        <v>4.7953409644328218E-2</v>
      </c>
      <c r="Q412" s="343">
        <f t="shared" si="174"/>
        <v>3.8421948820473406</v>
      </c>
      <c r="R412" s="344">
        <f t="shared" si="175"/>
        <v>-104.02430497853915</v>
      </c>
      <c r="S412" s="346">
        <f t="shared" si="176"/>
        <v>75.975695021460851</v>
      </c>
      <c r="U412" s="319">
        <f t="shared" si="182"/>
        <v>1000000000</v>
      </c>
      <c r="V412" s="319">
        <f t="shared" si="183"/>
        <v>1496413172.25</v>
      </c>
      <c r="X412" s="345">
        <f t="shared" si="177"/>
        <v>39.1349611987401</v>
      </c>
      <c r="Y412" s="346">
        <f t="shared" si="178"/>
        <v>-16.046630339814712</v>
      </c>
      <c r="AA412" s="345">
        <f t="shared" si="179"/>
        <v>21.53998384140225</v>
      </c>
      <c r="AB412" s="346">
        <f t="shared" si="180"/>
        <v>-87.977674638724409</v>
      </c>
      <c r="AD412">
        <f t="shared" si="184"/>
        <v>0</v>
      </c>
      <c r="AE412">
        <f t="shared" si="187"/>
        <v>0</v>
      </c>
    </row>
    <row r="413" spans="1:31" x14ac:dyDescent="0.2">
      <c r="A413" s="347">
        <v>38905</v>
      </c>
      <c r="B413" s="364">
        <f t="shared" si="181"/>
        <v>38.905000000000001</v>
      </c>
      <c r="C413" s="337">
        <f t="shared" si="162"/>
        <v>96.134987901938771</v>
      </c>
      <c r="D413" s="338">
        <f t="shared" si="163"/>
        <v>1.5603940990894338</v>
      </c>
      <c r="E413" s="338">
        <f t="shared" si="164"/>
        <v>1.0026853466981627</v>
      </c>
      <c r="F413" s="339">
        <f t="shared" si="165"/>
        <v>7.3203158362471571E-2</v>
      </c>
      <c r="G413" s="338">
        <f t="shared" si="166"/>
        <v>1</v>
      </c>
      <c r="H413" s="339">
        <f t="shared" si="167"/>
        <v>0</v>
      </c>
      <c r="I413" s="337">
        <f t="shared" si="168"/>
        <v>5168.7776529241401</v>
      </c>
      <c r="J413" s="340">
        <f t="shared" si="169"/>
        <v>1.5706028574539059</v>
      </c>
      <c r="K413" s="348">
        <f t="shared" si="185"/>
        <v>6.1321580531554281</v>
      </c>
      <c r="L413" s="349">
        <f t="shared" si="186"/>
        <v>1.4069900265189863</v>
      </c>
      <c r="M413" s="337">
        <f t="shared" si="170"/>
        <v>1.0067881560810099</v>
      </c>
      <c r="N413" s="340">
        <f t="shared" si="171"/>
        <v>0.11618931091174749</v>
      </c>
      <c r="O413" s="341">
        <f t="shared" si="172"/>
        <v>0.99964875610939674</v>
      </c>
      <c r="P413" s="342">
        <f t="shared" si="173"/>
        <v>4.8228393180717227E-2</v>
      </c>
      <c r="Q413" s="343">
        <f t="shared" si="174"/>
        <v>3.790916475240766</v>
      </c>
      <c r="R413" s="344">
        <f t="shared" si="175"/>
        <v>-104.00452956107544</v>
      </c>
      <c r="S413" s="346">
        <f t="shared" si="176"/>
        <v>75.995470438924556</v>
      </c>
      <c r="U413" s="319">
        <f t="shared" si="182"/>
        <v>1000000000</v>
      </c>
      <c r="V413" s="319">
        <f t="shared" si="183"/>
        <v>1513599025</v>
      </c>
      <c r="X413" s="345">
        <f t="shared" si="177"/>
        <v>39.132972237126339</v>
      </c>
      <c r="Y413" s="346">
        <f t="shared" si="178"/>
        <v>-16.031481844853467</v>
      </c>
      <c r="AA413" s="345">
        <f t="shared" si="179"/>
        <v>21.490694396209435</v>
      </c>
      <c r="AB413" s="346">
        <f t="shared" si="180"/>
        <v>-87.973047716221984</v>
      </c>
      <c r="AD413">
        <f t="shared" si="184"/>
        <v>0</v>
      </c>
      <c r="AE413">
        <f t="shared" si="187"/>
        <v>0</v>
      </c>
    </row>
    <row r="414" spans="1:31" x14ac:dyDescent="0.2">
      <c r="A414" s="347">
        <v>39131.5</v>
      </c>
      <c r="B414" s="364">
        <f t="shared" si="181"/>
        <v>39.131500000000003</v>
      </c>
      <c r="C414" s="337">
        <f t="shared" si="162"/>
        <v>96.694613284681893</v>
      </c>
      <c r="D414" s="338">
        <f t="shared" si="163"/>
        <v>1.5604543047060853</v>
      </c>
      <c r="E414" s="338">
        <f t="shared" si="164"/>
        <v>1.0027166627345083</v>
      </c>
      <c r="F414" s="339">
        <f t="shared" si="165"/>
        <v>7.3627803780021428E-2</v>
      </c>
      <c r="G414" s="338">
        <f t="shared" si="166"/>
        <v>1</v>
      </c>
      <c r="H414" s="339">
        <f t="shared" si="167"/>
        <v>0</v>
      </c>
      <c r="I414" s="337">
        <f t="shared" si="168"/>
        <v>5198.8696229715206</v>
      </c>
      <c r="J414" s="340">
        <f t="shared" si="169"/>
        <v>1.5706039772884293</v>
      </c>
      <c r="K414" s="348">
        <f t="shared" si="185"/>
        <v>6.1669119779437827</v>
      </c>
      <c r="L414" s="349">
        <f t="shared" si="186"/>
        <v>1.407921439423246</v>
      </c>
      <c r="M414" s="337">
        <f t="shared" si="170"/>
        <v>1.0068671554034574</v>
      </c>
      <c r="N414" s="340">
        <f t="shared" si="171"/>
        <v>0.11685962634956656</v>
      </c>
      <c r="O414" s="341">
        <f t="shared" si="172"/>
        <v>0.99964466721768819</v>
      </c>
      <c r="P414" s="342">
        <f t="shared" si="173"/>
        <v>4.8509591182813935E-2</v>
      </c>
      <c r="Q414" s="343">
        <f t="shared" si="174"/>
        <v>3.7387923279571584</v>
      </c>
      <c r="R414" s="344">
        <f t="shared" si="175"/>
        <v>-103.98486453622588</v>
      </c>
      <c r="S414" s="346">
        <f t="shared" si="176"/>
        <v>76.015135463774115</v>
      </c>
      <c r="U414" s="319">
        <f t="shared" si="182"/>
        <v>1000000000</v>
      </c>
      <c r="V414" s="319">
        <f t="shared" si="183"/>
        <v>1531274292.25</v>
      </c>
      <c r="X414" s="345">
        <f t="shared" si="177"/>
        <v>39.130957383929129</v>
      </c>
      <c r="Y414" s="346">
        <f t="shared" si="178"/>
        <v>-16.01658622375977</v>
      </c>
      <c r="AA414" s="345">
        <f t="shared" si="179"/>
        <v>21.440585102123034</v>
      </c>
      <c r="AB414" s="346">
        <f t="shared" si="180"/>
        <v>-87.968278312466126</v>
      </c>
      <c r="AD414">
        <f t="shared" si="184"/>
        <v>0</v>
      </c>
      <c r="AE414">
        <f t="shared" si="187"/>
        <v>0</v>
      </c>
    </row>
    <row r="415" spans="1:31" x14ac:dyDescent="0.2">
      <c r="A415" s="347">
        <v>39358</v>
      </c>
      <c r="B415" s="364">
        <f t="shared" si="181"/>
        <v>39.357999999999997</v>
      </c>
      <c r="C415" s="337">
        <f t="shared" si="162"/>
        <v>97.254239013881957</v>
      </c>
      <c r="D415" s="338">
        <f t="shared" si="163"/>
        <v>1.5605138174459618</v>
      </c>
      <c r="E415" s="338">
        <f t="shared" si="164"/>
        <v>1.0027481595731509</v>
      </c>
      <c r="F415" s="339">
        <f t="shared" si="165"/>
        <v>7.4052422597471468E-2</v>
      </c>
      <c r="G415" s="338">
        <f t="shared" si="166"/>
        <v>1</v>
      </c>
      <c r="H415" s="339">
        <f t="shared" si="167"/>
        <v>0</v>
      </c>
      <c r="I415" s="337">
        <f t="shared" si="168"/>
        <v>5228.9615930253458</v>
      </c>
      <c r="J415" s="340">
        <f t="shared" si="169"/>
        <v>1.5706050842339587</v>
      </c>
      <c r="K415" s="348">
        <f t="shared" si="185"/>
        <v>6.2016711927484121</v>
      </c>
      <c r="L415" s="349">
        <f t="shared" si="186"/>
        <v>1.4088424123264756</v>
      </c>
      <c r="M415" s="337">
        <f t="shared" si="170"/>
        <v>1.0069466070631552</v>
      </c>
      <c r="N415" s="340">
        <f t="shared" si="171"/>
        <v>0.11752983630795445</v>
      </c>
      <c r="O415" s="341">
        <f t="shared" si="172"/>
        <v>0.99964055488844494</v>
      </c>
      <c r="P415" s="342">
        <f t="shared" si="173"/>
        <v>4.8790796469046591E-2</v>
      </c>
      <c r="Q415" s="343">
        <f t="shared" si="174"/>
        <v>3.6869795625197259</v>
      </c>
      <c r="R415" s="344">
        <f t="shared" si="175"/>
        <v>-103.96575313987174</v>
      </c>
      <c r="S415" s="346">
        <f t="shared" si="176"/>
        <v>76.034246860128263</v>
      </c>
      <c r="U415" s="319">
        <f t="shared" si="182"/>
        <v>1000000000</v>
      </c>
      <c r="V415" s="319">
        <f t="shared" si="183"/>
        <v>1549052164</v>
      </c>
      <c r="X415" s="345">
        <f t="shared" si="177"/>
        <v>39.12896123645055</v>
      </c>
      <c r="Y415" s="346">
        <f t="shared" si="178"/>
        <v>-16.002281988652719</v>
      </c>
      <c r="AA415" s="345">
        <f t="shared" si="179"/>
        <v>21.390768484164184</v>
      </c>
      <c r="AB415" s="346">
        <f t="shared" si="180"/>
        <v>-87.963471151218997</v>
      </c>
      <c r="AD415">
        <f t="shared" si="184"/>
        <v>0</v>
      </c>
      <c r="AE415">
        <f t="shared" si="187"/>
        <v>0</v>
      </c>
    </row>
    <row r="416" spans="1:31" x14ac:dyDescent="0.2">
      <c r="A416" s="347">
        <v>39584.5</v>
      </c>
      <c r="B416" s="364">
        <f t="shared" si="181"/>
        <v>39.584499999999998</v>
      </c>
      <c r="C416" s="337">
        <f t="shared" si="162"/>
        <v>97.813865083592333</v>
      </c>
      <c r="D416" s="338">
        <f t="shared" si="163"/>
        <v>1.5605726492011827</v>
      </c>
      <c r="E416" s="338">
        <f t="shared" si="164"/>
        <v>1.0027798371970531</v>
      </c>
      <c r="F416" s="339">
        <f t="shared" si="165"/>
        <v>7.4477014664216926E-2</v>
      </c>
      <c r="G416" s="338">
        <f t="shared" si="166"/>
        <v>1</v>
      </c>
      <c r="H416" s="339">
        <f t="shared" si="167"/>
        <v>0</v>
      </c>
      <c r="I416" s="337">
        <f t="shared" si="168"/>
        <v>5259.0535630855047</v>
      </c>
      <c r="J416" s="340">
        <f t="shared" si="169"/>
        <v>1.5706061785117444</v>
      </c>
      <c r="K416" s="348">
        <f t="shared" si="185"/>
        <v>6.2364356091164783</v>
      </c>
      <c r="L416" s="349">
        <f t="shared" si="186"/>
        <v>1.4097531182435195</v>
      </c>
      <c r="M416" s="337">
        <f t="shared" si="170"/>
        <v>1.0070265109530383</v>
      </c>
      <c r="N416" s="340">
        <f t="shared" si="171"/>
        <v>0.11819994020985714</v>
      </c>
      <c r="O416" s="341">
        <f t="shared" si="172"/>
        <v>0.99963641912685208</v>
      </c>
      <c r="P416" s="342">
        <f t="shared" si="173"/>
        <v>4.9072009081519222E-2</v>
      </c>
      <c r="Q416" s="343">
        <f t="shared" si="174"/>
        <v>3.6354743390371307</v>
      </c>
      <c r="R416" s="344">
        <f t="shared" si="175"/>
        <v>-103.94718613101608</v>
      </c>
      <c r="S416" s="346">
        <f t="shared" si="176"/>
        <v>76.052813868983918</v>
      </c>
      <c r="U416" s="319">
        <f t="shared" si="182"/>
        <v>1000000000</v>
      </c>
      <c r="V416" s="319">
        <f t="shared" si="183"/>
        <v>1566932640.25</v>
      </c>
      <c r="X416" s="345">
        <f t="shared" si="177"/>
        <v>39.126983292847683</v>
      </c>
      <c r="Y416" s="346">
        <f t="shared" si="178"/>
        <v>-15.988559206125835</v>
      </c>
      <c r="AA416" s="345">
        <f t="shared" si="179"/>
        <v>21.341241204284458</v>
      </c>
      <c r="AB416" s="346">
        <f t="shared" si="180"/>
        <v>-87.95862692489024</v>
      </c>
      <c r="AD416">
        <f t="shared" si="184"/>
        <v>0</v>
      </c>
      <c r="AE416">
        <f t="shared" si="187"/>
        <v>0</v>
      </c>
    </row>
    <row r="417" spans="1:31" x14ac:dyDescent="0.2">
      <c r="A417" s="347">
        <v>39811</v>
      </c>
      <c r="B417" s="364">
        <f t="shared" si="181"/>
        <v>39.811</v>
      </c>
      <c r="C417" s="337">
        <f t="shared" si="162"/>
        <v>98.373491488001761</v>
      </c>
      <c r="D417" s="338">
        <f t="shared" si="163"/>
        <v>1.5606308115932785</v>
      </c>
      <c r="E417" s="338">
        <f t="shared" si="164"/>
        <v>1.0028116955890831</v>
      </c>
      <c r="F417" s="339">
        <f t="shared" si="165"/>
        <v>7.4901579829710574E-2</v>
      </c>
      <c r="G417" s="338">
        <f t="shared" si="166"/>
        <v>1</v>
      </c>
      <c r="H417" s="339">
        <f t="shared" si="167"/>
        <v>0</v>
      </c>
      <c r="I417" s="337">
        <f t="shared" si="168"/>
        <v>5289.1455331518882</v>
      </c>
      <c r="J417" s="340">
        <f t="shared" si="169"/>
        <v>1.570607260338001</v>
      </c>
      <c r="K417" s="348">
        <f t="shared" si="185"/>
        <v>6.2712051405434011</v>
      </c>
      <c r="L417" s="349">
        <f t="shared" si="186"/>
        <v>1.4106537264212149</v>
      </c>
      <c r="M417" s="337">
        <f t="shared" si="170"/>
        <v>1.0071068669654675</v>
      </c>
      <c r="N417" s="340">
        <f t="shared" si="171"/>
        <v>0.11886993747878427</v>
      </c>
      <c r="O417" s="341">
        <f t="shared" si="172"/>
        <v>0.99963225993812443</v>
      </c>
      <c r="P417" s="342">
        <f t="shared" si="173"/>
        <v>4.9353229062334823E-2</v>
      </c>
      <c r="Q417" s="343">
        <f t="shared" si="174"/>
        <v>3.5842728886567232</v>
      </c>
      <c r="R417" s="344">
        <f t="shared" si="175"/>
        <v>-103.92915446878992</v>
      </c>
      <c r="S417" s="346">
        <f t="shared" si="176"/>
        <v>76.070845531210082</v>
      </c>
      <c r="U417" s="319">
        <f t="shared" si="182"/>
        <v>1000000000</v>
      </c>
      <c r="V417" s="319">
        <f t="shared" si="183"/>
        <v>1584915721</v>
      </c>
      <c r="X417" s="345">
        <f t="shared" si="177"/>
        <v>39.125023065210456</v>
      </c>
      <c r="Y417" s="346">
        <f t="shared" si="178"/>
        <v>-15.975408158407381</v>
      </c>
      <c r="AA417" s="345">
        <f t="shared" si="179"/>
        <v>21.291999981541274</v>
      </c>
      <c r="AB417" s="346">
        <f t="shared" si="180"/>
        <v>-87.953746310382556</v>
      </c>
      <c r="AD417">
        <f t="shared" si="184"/>
        <v>0</v>
      </c>
      <c r="AE417">
        <f t="shared" si="187"/>
        <v>0</v>
      </c>
    </row>
    <row r="418" spans="1:31" x14ac:dyDescent="0.2">
      <c r="A418" s="347">
        <v>40042.75</v>
      </c>
      <c r="B418" s="364">
        <f t="shared" si="181"/>
        <v>40.042749999999998</v>
      </c>
      <c r="C418" s="337">
        <f t="shared" si="162"/>
        <v>98.946089705863514</v>
      </c>
      <c r="D418" s="338">
        <f t="shared" si="163"/>
        <v>1.5606896411506426</v>
      </c>
      <c r="E418" s="338">
        <f t="shared" si="164"/>
        <v>1.0028444795043652</v>
      </c>
      <c r="F418" s="339">
        <f t="shared" si="165"/>
        <v>7.5335957908884379E-2</v>
      </c>
      <c r="G418" s="338">
        <f t="shared" si="166"/>
        <v>1</v>
      </c>
      <c r="H418" s="339">
        <f t="shared" si="167"/>
        <v>0</v>
      </c>
      <c r="I418" s="337">
        <f t="shared" si="168"/>
        <v>5319.9349992195239</v>
      </c>
      <c r="J418" s="340">
        <f t="shared" si="169"/>
        <v>1.5706083545722971</v>
      </c>
      <c r="K418" s="348">
        <f t="shared" si="185"/>
        <v>6.3067857942968688</v>
      </c>
      <c r="L418" s="349">
        <f t="shared" si="186"/>
        <v>1.4115649307744302</v>
      </c>
      <c r="M418" s="337">
        <f t="shared" si="170"/>
        <v>1.0071895533850928</v>
      </c>
      <c r="N418" s="340">
        <f t="shared" si="171"/>
        <v>0.11955535351597005</v>
      </c>
      <c r="O418" s="341">
        <f t="shared" si="172"/>
        <v>0.9996279801018837</v>
      </c>
      <c r="P418" s="342">
        <f t="shared" si="173"/>
        <v>4.9640975057496838E-2</v>
      </c>
      <c r="Q418" s="343">
        <f t="shared" si="174"/>
        <v>3.5321952076806324</v>
      </c>
      <c r="R418" s="344">
        <f t="shared" si="175"/>
        <v>-103.91124973199706</v>
      </c>
      <c r="S418" s="346">
        <f t="shared" si="176"/>
        <v>76.08875026800294</v>
      </c>
      <c r="U418" s="319">
        <f t="shared" si="182"/>
        <v>1000000000</v>
      </c>
      <c r="V418" s="319">
        <f t="shared" si="183"/>
        <v>1603421827.5625</v>
      </c>
      <c r="X418" s="345">
        <f t="shared" si="177"/>
        <v>39.123035243738371</v>
      </c>
      <c r="Y418" s="346">
        <f t="shared" si="178"/>
        <v>-15.962534135827779</v>
      </c>
      <c r="AA418" s="345">
        <f t="shared" si="179"/>
        <v>21.241910122037268</v>
      </c>
      <c r="AB418" s="346">
        <f t="shared" si="180"/>
        <v>-87.948715596169308</v>
      </c>
      <c r="AD418">
        <f t="shared" si="184"/>
        <v>0</v>
      </c>
      <c r="AE418">
        <f t="shared" si="187"/>
        <v>0</v>
      </c>
    </row>
    <row r="419" spans="1:31" x14ac:dyDescent="0.2">
      <c r="A419" s="347">
        <v>40274.5</v>
      </c>
      <c r="B419" s="364">
        <f t="shared" si="181"/>
        <v>40.274500000000003</v>
      </c>
      <c r="C419" s="337">
        <f t="shared" si="162"/>
        <v>99.518688262228821</v>
      </c>
      <c r="D419" s="338">
        <f t="shared" si="163"/>
        <v>1.5607477937354641</v>
      </c>
      <c r="E419" s="338">
        <f t="shared" si="164"/>
        <v>1.0028774526282795</v>
      </c>
      <c r="F419" s="339">
        <f t="shared" si="165"/>
        <v>7.5770307506594095E-2</v>
      </c>
      <c r="G419" s="338">
        <f t="shared" si="166"/>
        <v>1</v>
      </c>
      <c r="H419" s="339">
        <f t="shared" si="167"/>
        <v>0</v>
      </c>
      <c r="I419" s="337">
        <f t="shared" si="168"/>
        <v>5350.7244652934542</v>
      </c>
      <c r="J419" s="340">
        <f t="shared" si="169"/>
        <v>1.570609436213573</v>
      </c>
      <c r="K419" s="348">
        <f t="shared" si="185"/>
        <v>6.3423716257770213</v>
      </c>
      <c r="L419" s="349">
        <f t="shared" si="186"/>
        <v>1.4124659106828132</v>
      </c>
      <c r="M419" s="337">
        <f t="shared" si="170"/>
        <v>1.0072727128996646</v>
      </c>
      <c r="N419" s="340">
        <f t="shared" si="171"/>
        <v>0.12024065670042056</v>
      </c>
      <c r="O419" s="341">
        <f t="shared" si="172"/>
        <v>0.99962367575103772</v>
      </c>
      <c r="P419" s="342">
        <f t="shared" si="173"/>
        <v>4.9928728855712555E-2</v>
      </c>
      <c r="Q419" s="343">
        <f t="shared" si="174"/>
        <v>3.4804277828117778</v>
      </c>
      <c r="R419" s="344">
        <f t="shared" si="175"/>
        <v>-103.89388691650947</v>
      </c>
      <c r="S419" s="346">
        <f t="shared" si="176"/>
        <v>76.106113083490527</v>
      </c>
      <c r="U419" s="319">
        <f t="shared" si="182"/>
        <v>1000000000</v>
      </c>
      <c r="V419" s="319">
        <f t="shared" si="183"/>
        <v>1622035350.25</v>
      </c>
      <c r="X419" s="345">
        <f t="shared" si="177"/>
        <v>39.121064978313903</v>
      </c>
      <c r="Y419" s="346">
        <f t="shared" si="178"/>
        <v>-15.950238743273243</v>
      </c>
      <c r="AA419" s="345">
        <f t="shared" si="179"/>
        <v>21.19211296259288</v>
      </c>
      <c r="AB419" s="346">
        <f t="shared" si="180"/>
        <v>-87.943648173236227</v>
      </c>
      <c r="AD419">
        <f t="shared" si="184"/>
        <v>0</v>
      </c>
      <c r="AE419">
        <f t="shared" si="187"/>
        <v>0</v>
      </c>
    </row>
    <row r="420" spans="1:31" x14ac:dyDescent="0.2">
      <c r="A420" s="347">
        <v>40506.25</v>
      </c>
      <c r="B420" s="364">
        <f t="shared" si="181"/>
        <v>40.506250000000001</v>
      </c>
      <c r="C420" s="337">
        <f t="shared" si="162"/>
        <v>100.09128715128817</v>
      </c>
      <c r="D420" s="338">
        <f t="shared" si="163"/>
        <v>1.5608052809657524</v>
      </c>
      <c r="E420" s="338">
        <f t="shared" si="164"/>
        <v>1.0029106149421643</v>
      </c>
      <c r="F420" s="339">
        <f t="shared" si="165"/>
        <v>7.6204628461768564E-2</v>
      </c>
      <c r="G420" s="338">
        <f t="shared" si="166"/>
        <v>1</v>
      </c>
      <c r="H420" s="339">
        <f t="shared" si="167"/>
        <v>0</v>
      </c>
      <c r="I420" s="337">
        <f t="shared" si="168"/>
        <v>5381.5139313735726</v>
      </c>
      <c r="J420" s="340">
        <f t="shared" si="169"/>
        <v>1.570610505477976</v>
      </c>
      <c r="K420" s="348">
        <f t="shared" si="185"/>
        <v>6.3779625483165052</v>
      </c>
      <c r="L420" s="349">
        <f t="shared" si="186"/>
        <v>1.4133568358375199</v>
      </c>
      <c r="M420" s="337">
        <f t="shared" si="170"/>
        <v>1.007356345392018</v>
      </c>
      <c r="N420" s="340">
        <f t="shared" si="171"/>
        <v>0.12092584641647242</v>
      </c>
      <c r="O420" s="341">
        <f t="shared" si="172"/>
        <v>0.99961934689127041</v>
      </c>
      <c r="P420" s="342">
        <f t="shared" si="173"/>
        <v>5.0216490502077694E-2</v>
      </c>
      <c r="Q420" s="343">
        <f t="shared" si="174"/>
        <v>3.4289667966640418</v>
      </c>
      <c r="R420" s="344">
        <f t="shared" si="175"/>
        <v>-103.87705695432481</v>
      </c>
      <c r="S420" s="346">
        <f t="shared" si="176"/>
        <v>76.122943045675186</v>
      </c>
      <c r="U420" s="319">
        <f t="shared" si="182"/>
        <v>1000000000</v>
      </c>
      <c r="V420" s="319">
        <f t="shared" si="183"/>
        <v>1640756289.0625</v>
      </c>
      <c r="X420" s="345">
        <f t="shared" si="177"/>
        <v>39.119111788673074</v>
      </c>
      <c r="Y420" s="346">
        <f t="shared" si="178"/>
        <v>-15.938512235266122</v>
      </c>
      <c r="AA420" s="345">
        <f t="shared" si="179"/>
        <v>21.142605166085978</v>
      </c>
      <c r="AB420" s="346">
        <f t="shared" si="180"/>
        <v>-87.938544719058669</v>
      </c>
      <c r="AD420">
        <f t="shared" si="184"/>
        <v>0</v>
      </c>
      <c r="AE420">
        <f t="shared" si="187"/>
        <v>0</v>
      </c>
    </row>
    <row r="421" spans="1:31" x14ac:dyDescent="0.2">
      <c r="A421" s="347">
        <v>40738</v>
      </c>
      <c r="B421" s="364">
        <f t="shared" si="181"/>
        <v>40.738</v>
      </c>
      <c r="C421" s="337">
        <f t="shared" si="162"/>
        <v>100.6638863673643</v>
      </c>
      <c r="D421" s="338">
        <f t="shared" si="163"/>
        <v>1.5608621141951906</v>
      </c>
      <c r="E421" s="338">
        <f t="shared" si="164"/>
        <v>1.0029439664272524</v>
      </c>
      <c r="F421" s="339">
        <f t="shared" si="165"/>
        <v>7.6638920613401204E-2</v>
      </c>
      <c r="G421" s="338">
        <f t="shared" si="166"/>
        <v>1</v>
      </c>
      <c r="H421" s="339">
        <f t="shared" si="167"/>
        <v>0</v>
      </c>
      <c r="I421" s="337">
        <f t="shared" si="168"/>
        <v>5412.3033974597756</v>
      </c>
      <c r="J421" s="340">
        <f t="shared" si="169"/>
        <v>1.5706115625767341</v>
      </c>
      <c r="K421" s="348">
        <f t="shared" si="185"/>
        <v>6.4135584771594871</v>
      </c>
      <c r="L421" s="349">
        <f t="shared" si="186"/>
        <v>1.4142378722271505</v>
      </c>
      <c r="M421" s="337">
        <f t="shared" si="170"/>
        <v>1.0074404507443604</v>
      </c>
      <c r="N421" s="340">
        <f t="shared" si="171"/>
        <v>0.1216109220490923</v>
      </c>
      <c r="O421" s="341">
        <f t="shared" si="172"/>
        <v>0.99961499352829852</v>
      </c>
      <c r="P421" s="342">
        <f t="shared" si="173"/>
        <v>5.0504260041686865E-2</v>
      </c>
      <c r="Q421" s="343">
        <f t="shared" si="174"/>
        <v>3.3778085022915088</v>
      </c>
      <c r="R421" s="344">
        <f t="shared" si="175"/>
        <v>-103.86075097418734</v>
      </c>
      <c r="S421" s="346">
        <f t="shared" si="176"/>
        <v>76.13924902581266</v>
      </c>
      <c r="U421" s="319">
        <f t="shared" si="182"/>
        <v>1000000000</v>
      </c>
      <c r="V421" s="319">
        <f t="shared" si="183"/>
        <v>1659584644</v>
      </c>
      <c r="X421" s="345">
        <f t="shared" si="177"/>
        <v>39.117175207907678</v>
      </c>
      <c r="Y421" s="346">
        <f t="shared" si="178"/>
        <v>-15.927345078223821</v>
      </c>
      <c r="AA421" s="345">
        <f t="shared" si="179"/>
        <v>21.093383452478832</v>
      </c>
      <c r="AB421" s="346">
        <f t="shared" si="180"/>
        <v>-87.933405895963531</v>
      </c>
      <c r="AD421">
        <f t="shared" si="184"/>
        <v>0</v>
      </c>
      <c r="AE421">
        <f t="shared" si="187"/>
        <v>0</v>
      </c>
    </row>
    <row r="422" spans="1:31" x14ac:dyDescent="0.2">
      <c r="A422" s="347">
        <v>40975.25</v>
      </c>
      <c r="B422" s="364">
        <f t="shared" si="181"/>
        <v>40.975250000000003</v>
      </c>
      <c r="C422" s="337">
        <f t="shared" si="162"/>
        <v>101.25007511030698</v>
      </c>
      <c r="D422" s="338">
        <f t="shared" si="163"/>
        <v>1.5609196303353199</v>
      </c>
      <c r="E422" s="338">
        <f t="shared" si="164"/>
        <v>1.0029783053644941</v>
      </c>
      <c r="F422" s="339">
        <f t="shared" si="165"/>
        <v>7.708348958558181E-2</v>
      </c>
      <c r="G422" s="338">
        <f t="shared" si="166"/>
        <v>1</v>
      </c>
      <c r="H422" s="339">
        <f t="shared" si="167"/>
        <v>0</v>
      </c>
      <c r="I422" s="337">
        <f t="shared" si="168"/>
        <v>5443.8235736426741</v>
      </c>
      <c r="J422" s="340">
        <f t="shared" si="169"/>
        <v>1.5706126323764247</v>
      </c>
      <c r="K422" s="348">
        <f t="shared" si="185"/>
        <v>6.4500042847202463</v>
      </c>
      <c r="L422" s="349">
        <f t="shared" si="186"/>
        <v>1.415129743730533</v>
      </c>
      <c r="M422" s="337">
        <f t="shared" si="170"/>
        <v>1.0075270418271971</v>
      </c>
      <c r="N422" s="340">
        <f t="shared" si="171"/>
        <v>0.12231213740058204</v>
      </c>
      <c r="O422" s="341">
        <f t="shared" si="172"/>
        <v>0.9996105114728846</v>
      </c>
      <c r="P422" s="342">
        <f t="shared" si="173"/>
        <v>5.0798867286895054E-2</v>
      </c>
      <c r="Q422" s="343">
        <f t="shared" si="174"/>
        <v>3.3257458077280471</v>
      </c>
      <c r="R422" s="344">
        <f t="shared" si="175"/>
        <v>-103.84459173437372</v>
      </c>
      <c r="S422" s="346">
        <f t="shared" si="176"/>
        <v>76.155408265626278</v>
      </c>
      <c r="U422" s="319">
        <f t="shared" si="182"/>
        <v>1000000000</v>
      </c>
      <c r="V422" s="319">
        <f t="shared" si="183"/>
        <v>1678971112.5625</v>
      </c>
      <c r="X422" s="345">
        <f t="shared" si="177"/>
        <v>39.115209398180852</v>
      </c>
      <c r="Y422" s="346">
        <f t="shared" si="178"/>
        <v>-15.916482580376947</v>
      </c>
      <c r="AA422" s="345">
        <f t="shared" si="179"/>
        <v>21.043286567642202</v>
      </c>
      <c r="AB422" s="346">
        <f t="shared" si="180"/>
        <v>-87.928109153996758</v>
      </c>
      <c r="AD422">
        <f t="shared" si="184"/>
        <v>0</v>
      </c>
      <c r="AE422">
        <f t="shared" si="187"/>
        <v>0</v>
      </c>
    </row>
    <row r="423" spans="1:31" x14ac:dyDescent="0.2">
      <c r="A423" s="347">
        <v>41212.5</v>
      </c>
      <c r="B423" s="364">
        <f t="shared" si="181"/>
        <v>41.212499999999999</v>
      </c>
      <c r="C423" s="337">
        <f t="shared" si="162"/>
        <v>101.83626418433968</v>
      </c>
      <c r="D423" s="338">
        <f t="shared" si="163"/>
        <v>1.5609764843277609</v>
      </c>
      <c r="E423" s="338">
        <f t="shared" si="164"/>
        <v>1.003012842518348</v>
      </c>
      <c r="F423" s="339">
        <f t="shared" si="165"/>
        <v>7.7528028029564031E-2</v>
      </c>
      <c r="G423" s="338">
        <f t="shared" si="166"/>
        <v>1</v>
      </c>
      <c r="H423" s="339">
        <f t="shared" si="167"/>
        <v>0</v>
      </c>
      <c r="I423" s="337">
        <f t="shared" si="168"/>
        <v>5475.3437498317317</v>
      </c>
      <c r="J423" s="340">
        <f t="shared" si="169"/>
        <v>1.57061368985898</v>
      </c>
      <c r="K423" s="348">
        <f t="shared" si="185"/>
        <v>6.4864551651816686</v>
      </c>
      <c r="L423" s="349">
        <f t="shared" si="186"/>
        <v>1.4160115921174319</v>
      </c>
      <c r="M423" s="337">
        <f t="shared" si="170"/>
        <v>1.0076141282287829</v>
      </c>
      <c r="N423" s="340">
        <f t="shared" si="171"/>
        <v>0.12301323188701559</v>
      </c>
      <c r="O423" s="341">
        <f t="shared" si="172"/>
        <v>0.99960600374965258</v>
      </c>
      <c r="P423" s="342">
        <f t="shared" si="173"/>
        <v>5.1093482900084045E-2</v>
      </c>
      <c r="Q423" s="343">
        <f t="shared" si="174"/>
        <v>3.2739926144145501</v>
      </c>
      <c r="R423" s="344">
        <f t="shared" si="175"/>
        <v>-103.82896343637422</v>
      </c>
      <c r="S423" s="346">
        <f t="shared" si="176"/>
        <v>76.171036563625776</v>
      </c>
      <c r="U423" s="319">
        <f t="shared" si="182"/>
        <v>1000000000</v>
      </c>
      <c r="V423" s="319">
        <f t="shared" si="183"/>
        <v>1698470156.25</v>
      </c>
      <c r="X423" s="345">
        <f t="shared" si="177"/>
        <v>39.113260045751794</v>
      </c>
      <c r="Y423" s="346">
        <f t="shared" si="178"/>
        <v>-15.906186734025324</v>
      </c>
      <c r="AA423" s="345">
        <f t="shared" si="179"/>
        <v>20.993482726757762</v>
      </c>
      <c r="AB423" s="346">
        <f t="shared" si="180"/>
        <v>-87.922776702348898</v>
      </c>
      <c r="AD423">
        <f t="shared" si="184"/>
        <v>0</v>
      </c>
      <c r="AE423">
        <f t="shared" si="187"/>
        <v>0</v>
      </c>
    </row>
    <row r="424" spans="1:31" x14ac:dyDescent="0.2">
      <c r="A424" s="347">
        <v>41449.75</v>
      </c>
      <c r="B424" s="364">
        <f t="shared" si="181"/>
        <v>41.449750000000002</v>
      </c>
      <c r="C424" s="337">
        <f t="shared" si="162"/>
        <v>102.42245358377764</v>
      </c>
      <c r="D424" s="338">
        <f t="shared" si="163"/>
        <v>1.5610326875410556</v>
      </c>
      <c r="E424" s="338">
        <f t="shared" si="164"/>
        <v>1.0030475778683388</v>
      </c>
      <c r="F424" s="339">
        <f t="shared" si="165"/>
        <v>7.7972535772816029E-2</v>
      </c>
      <c r="G424" s="338">
        <f t="shared" si="166"/>
        <v>1</v>
      </c>
      <c r="H424" s="339">
        <f t="shared" si="167"/>
        <v>0</v>
      </c>
      <c r="I424" s="337">
        <f t="shared" si="168"/>
        <v>5506.8639260268419</v>
      </c>
      <c r="J424" s="340">
        <f t="shared" si="169"/>
        <v>1.5706147352359026</v>
      </c>
      <c r="K424" s="348">
        <f t="shared" si="185"/>
        <v>6.5229110334996561</v>
      </c>
      <c r="L424" s="349">
        <f t="shared" si="186"/>
        <v>1.4168835840591236</v>
      </c>
      <c r="M424" s="337">
        <f t="shared" si="170"/>
        <v>1.0077017098207002</v>
      </c>
      <c r="N424" s="340">
        <f t="shared" si="171"/>
        <v>0.12371420485059563</v>
      </c>
      <c r="O424" s="341">
        <f t="shared" si="172"/>
        <v>0.99960147036484304</v>
      </c>
      <c r="P424" s="342">
        <f t="shared" si="173"/>
        <v>5.1388106929632096E-2</v>
      </c>
      <c r="Q424" s="343">
        <f t="shared" si="174"/>
        <v>3.2225451204989271</v>
      </c>
      <c r="R424" s="344">
        <f t="shared" si="175"/>
        <v>-103.81385716908407</v>
      </c>
      <c r="S424" s="346">
        <f t="shared" si="176"/>
        <v>76.186142830915927</v>
      </c>
      <c r="U424" s="319">
        <f t="shared" si="182"/>
        <v>1000000000</v>
      </c>
      <c r="V424" s="319">
        <f t="shared" si="183"/>
        <v>1718081775.0625</v>
      </c>
      <c r="X424" s="345">
        <f t="shared" si="177"/>
        <v>39.111326690359299</v>
      </c>
      <c r="Y424" s="346">
        <f t="shared" si="178"/>
        <v>-15.896447964037421</v>
      </c>
      <c r="AA424" s="345">
        <f t="shared" si="179"/>
        <v>20.943968588234636</v>
      </c>
      <c r="AB424" s="346">
        <f t="shared" si="180"/>
        <v>-87.917409205046638</v>
      </c>
      <c r="AD424">
        <f t="shared" si="184"/>
        <v>0</v>
      </c>
      <c r="AE424">
        <f t="shared" si="187"/>
        <v>0</v>
      </c>
    </row>
    <row r="425" spans="1:31" x14ac:dyDescent="0.2">
      <c r="A425" s="347">
        <v>41687</v>
      </c>
      <c r="B425" s="364">
        <f t="shared" si="181"/>
        <v>41.686999999999998</v>
      </c>
      <c r="C425" s="337">
        <f t="shared" si="162"/>
        <v>103.00864330306551</v>
      </c>
      <c r="D425" s="338">
        <f t="shared" si="163"/>
        <v>1.5610882510849824</v>
      </c>
      <c r="E425" s="338">
        <f t="shared" si="164"/>
        <v>1.0030825113938766</v>
      </c>
      <c r="F425" s="339">
        <f t="shared" si="165"/>
        <v>7.84170126428783E-2</v>
      </c>
      <c r="G425" s="338">
        <f t="shared" si="166"/>
        <v>1</v>
      </c>
      <c r="H425" s="339">
        <f t="shared" si="167"/>
        <v>0</v>
      </c>
      <c r="I425" s="337">
        <f t="shared" si="168"/>
        <v>5538.3841022279012</v>
      </c>
      <c r="J425" s="340">
        <f t="shared" si="169"/>
        <v>1.5706157687138795</v>
      </c>
      <c r="K425" s="348">
        <f t="shared" si="185"/>
        <v>6.5593718065092439</v>
      </c>
      <c r="L425" s="349">
        <f t="shared" si="186"/>
        <v>1.4177458825817844</v>
      </c>
      <c r="M425" s="337">
        <f t="shared" si="170"/>
        <v>1.0077897864738461</v>
      </c>
      <c r="N425" s="340">
        <f t="shared" si="171"/>
        <v>0.12441505563423057</v>
      </c>
      <c r="O425" s="341">
        <f t="shared" si="172"/>
        <v>0.99959691132473261</v>
      </c>
      <c r="P425" s="342">
        <f t="shared" si="173"/>
        <v>5.1682739423916157E-2</v>
      </c>
      <c r="Q425" s="343">
        <f t="shared" si="174"/>
        <v>3.1713995941426329</v>
      </c>
      <c r="R425" s="344">
        <f t="shared" si="175"/>
        <v>-103.79926421518152</v>
      </c>
      <c r="S425" s="346">
        <f t="shared" si="176"/>
        <v>76.200735784818477</v>
      </c>
      <c r="U425" s="319">
        <f t="shared" si="182"/>
        <v>1000000000</v>
      </c>
      <c r="V425" s="319">
        <f t="shared" si="183"/>
        <v>1737805969</v>
      </c>
      <c r="X425" s="345">
        <f t="shared" si="177"/>
        <v>39.109408884570115</v>
      </c>
      <c r="Y425" s="346">
        <f t="shared" si="178"/>
        <v>-15.887256903895103</v>
      </c>
      <c r="AA425" s="345">
        <f t="shared" si="179"/>
        <v>20.894740867667526</v>
      </c>
      <c r="AB425" s="346">
        <f t="shared" si="180"/>
        <v>-87.912007311286402</v>
      </c>
      <c r="AD425">
        <f t="shared" si="184"/>
        <v>0</v>
      </c>
      <c r="AE425">
        <f t="shared" si="187"/>
        <v>0</v>
      </c>
    </row>
    <row r="426" spans="1:31" x14ac:dyDescent="0.2">
      <c r="A426" s="347">
        <v>41929.75</v>
      </c>
      <c r="B426" s="364">
        <f t="shared" si="181"/>
        <v>41.929749999999999</v>
      </c>
      <c r="C426" s="337">
        <f t="shared" si="162"/>
        <v>103.60842257201068</v>
      </c>
      <c r="D426" s="338">
        <f t="shared" si="163"/>
        <v>1.5611444519589326</v>
      </c>
      <c r="E426" s="338">
        <f t="shared" si="164"/>
        <v>1.0031184598572334</v>
      </c>
      <c r="F426" s="339">
        <f t="shared" si="165"/>
        <v>7.8871761372962132E-2</v>
      </c>
      <c r="G426" s="338">
        <f t="shared" si="166"/>
        <v>1</v>
      </c>
      <c r="H426" s="339">
        <f t="shared" si="167"/>
        <v>0</v>
      </c>
      <c r="I426" s="337">
        <f t="shared" si="168"/>
        <v>5570.6349885260806</v>
      </c>
      <c r="J426" s="340">
        <f t="shared" si="169"/>
        <v>1.5706168140450161</v>
      </c>
      <c r="K426" s="348">
        <f t="shared" si="185"/>
        <v>6.5966828157286894</v>
      </c>
      <c r="L426" s="349">
        <f t="shared" si="186"/>
        <v>1.4186183043901408</v>
      </c>
      <c r="M426" s="337">
        <f t="shared" si="170"/>
        <v>1.0078804172200007</v>
      </c>
      <c r="N426" s="340">
        <f t="shared" si="171"/>
        <v>0.12513202660297021</v>
      </c>
      <c r="O426" s="341">
        <f t="shared" si="172"/>
        <v>0.99959222004786685</v>
      </c>
      <c r="P426" s="342">
        <f t="shared" si="173"/>
        <v>5.1984210988050575E-2</v>
      </c>
      <c r="Q426" s="343">
        <f t="shared" si="174"/>
        <v>3.1193771253291001</v>
      </c>
      <c r="R426" s="344">
        <f t="shared" si="175"/>
        <v>-103.78485536937322</v>
      </c>
      <c r="S426" s="346">
        <f t="shared" si="176"/>
        <v>76.215144630626781</v>
      </c>
      <c r="U426" s="319">
        <f t="shared" si="182"/>
        <v>1000000000</v>
      </c>
      <c r="V426" s="319">
        <f t="shared" si="183"/>
        <v>1758103935.0625</v>
      </c>
      <c r="X426" s="345">
        <f t="shared" si="177"/>
        <v>39.107462260453893</v>
      </c>
      <c r="Y426" s="346">
        <f t="shared" si="178"/>
        <v>-15.878410119915513</v>
      </c>
      <c r="AA426" s="345">
        <f t="shared" si="179"/>
        <v>20.844665022970212</v>
      </c>
      <c r="AB426" s="346">
        <f t="shared" si="180"/>
        <v>-87.906445249457704</v>
      </c>
      <c r="AD426">
        <f t="shared" si="184"/>
        <v>0</v>
      </c>
      <c r="AE426">
        <f t="shared" si="187"/>
        <v>0</v>
      </c>
    </row>
    <row r="427" spans="1:31" x14ac:dyDescent="0.2">
      <c r="A427" s="347">
        <v>42172.5</v>
      </c>
      <c r="B427" s="364">
        <f t="shared" si="181"/>
        <v>42.172499999999999</v>
      </c>
      <c r="C427" s="337">
        <f t="shared" si="162"/>
        <v>104.20820216444</v>
      </c>
      <c r="D427" s="338">
        <f t="shared" si="163"/>
        <v>1.5612000058947815</v>
      </c>
      <c r="E427" s="338">
        <f t="shared" si="164"/>
        <v>1.0031546157469915</v>
      </c>
      <c r="F427" s="339">
        <f t="shared" si="165"/>
        <v>7.9326477416793259E-2</v>
      </c>
      <c r="G427" s="338">
        <f t="shared" si="166"/>
        <v>1</v>
      </c>
      <c r="H427" s="339">
        <f t="shared" si="167"/>
        <v>0</v>
      </c>
      <c r="I427" s="337">
        <f t="shared" si="168"/>
        <v>5602.8858748302782</v>
      </c>
      <c r="J427" s="340">
        <f t="shared" si="169"/>
        <v>1.5706178473420487</v>
      </c>
      <c r="K427" s="348">
        <f t="shared" si="185"/>
        <v>6.6339987893350836</v>
      </c>
      <c r="L427" s="349">
        <f t="shared" si="186"/>
        <v>1.4194809121744647</v>
      </c>
      <c r="M427" s="337">
        <f t="shared" si="170"/>
        <v>1.007971565971109</v>
      </c>
      <c r="N427" s="340">
        <f t="shared" si="171"/>
        <v>0.12584886827178812</v>
      </c>
      <c r="O427" s="341">
        <f t="shared" si="172"/>
        <v>0.99958750192582602</v>
      </c>
      <c r="P427" s="342">
        <f t="shared" si="173"/>
        <v>5.2285691516395949E-2</v>
      </c>
      <c r="Q427" s="343">
        <f t="shared" si="174"/>
        <v>3.0676630997515151</v>
      </c>
      <c r="R427" s="344">
        <f t="shared" si="175"/>
        <v>-103.77096604745245</v>
      </c>
      <c r="S427" s="346">
        <f t="shared" si="176"/>
        <v>76.229033952547553</v>
      </c>
      <c r="U427" s="319">
        <f t="shared" si="182"/>
        <v>1000000000</v>
      </c>
      <c r="V427" s="319">
        <f t="shared" si="183"/>
        <v>1778519756.25</v>
      </c>
      <c r="X427" s="345">
        <f t="shared" si="177"/>
        <v>39.105531006875005</v>
      </c>
      <c r="Y427" s="346">
        <f t="shared" si="178"/>
        <v>-15.870117540250479</v>
      </c>
      <c r="AA427" s="345">
        <f t="shared" si="179"/>
        <v>20.794882250971515</v>
      </c>
      <c r="AB427" s="346">
        <f t="shared" si="180"/>
        <v>-87.900848507201957</v>
      </c>
      <c r="AD427">
        <f t="shared" si="184"/>
        <v>0</v>
      </c>
      <c r="AE427">
        <f t="shared" si="187"/>
        <v>0</v>
      </c>
    </row>
    <row r="428" spans="1:31" x14ac:dyDescent="0.2">
      <c r="A428" s="347">
        <v>42415.25</v>
      </c>
      <c r="B428" s="364">
        <f t="shared" si="181"/>
        <v>42.41525</v>
      </c>
      <c r="C428" s="337">
        <f t="shared" si="162"/>
        <v>104.80798207479984</v>
      </c>
      <c r="D428" s="338">
        <f t="shared" si="163"/>
        <v>1.5612549239987938</v>
      </c>
      <c r="E428" s="338">
        <f t="shared" si="164"/>
        <v>1.0031909790407232</v>
      </c>
      <c r="F428" s="339">
        <f t="shared" si="165"/>
        <v>7.9781160589875777E-2</v>
      </c>
      <c r="G428" s="338">
        <f t="shared" si="166"/>
        <v>1</v>
      </c>
      <c r="H428" s="339">
        <f t="shared" si="167"/>
        <v>0</v>
      </c>
      <c r="I428" s="337">
        <f t="shared" si="168"/>
        <v>5635.1367611403884</v>
      </c>
      <c r="J428" s="340">
        <f t="shared" si="169"/>
        <v>1.5706188688115972</v>
      </c>
      <c r="K428" s="348">
        <f t="shared" si="185"/>
        <v>6.67131964402365</v>
      </c>
      <c r="L428" s="349">
        <f t="shared" si="186"/>
        <v>1.4203338693456835</v>
      </c>
      <c r="M428" s="337">
        <f t="shared" si="170"/>
        <v>1.0080632325866581</v>
      </c>
      <c r="N428" s="340">
        <f t="shared" si="171"/>
        <v>0.12656557993914314</v>
      </c>
      <c r="O428" s="341">
        <f t="shared" si="172"/>
        <v>0.99958275696545118</v>
      </c>
      <c r="P428" s="342">
        <f t="shared" si="173"/>
        <v>5.2587181060768082E-2</v>
      </c>
      <c r="Q428" s="343">
        <f t="shared" si="174"/>
        <v>3.0162537365111919</v>
      </c>
      <c r="R428" s="344">
        <f t="shared" si="175"/>
        <v>-103.75758750818753</v>
      </c>
      <c r="S428" s="346">
        <f t="shared" si="176"/>
        <v>76.242412491812473</v>
      </c>
      <c r="U428" s="319">
        <f t="shared" si="182"/>
        <v>1000000000</v>
      </c>
      <c r="V428" s="319">
        <f t="shared" si="183"/>
        <v>1799053432.5625</v>
      </c>
      <c r="X428" s="345">
        <f t="shared" si="177"/>
        <v>39.103614683555442</v>
      </c>
      <c r="Y428" s="346">
        <f t="shared" si="178"/>
        <v>-15.862369773786627</v>
      </c>
      <c r="AA428" s="345">
        <f t="shared" si="179"/>
        <v>20.745389211050753</v>
      </c>
      <c r="AB428" s="346">
        <f t="shared" si="180"/>
        <v>-87.895217734400887</v>
      </c>
      <c r="AD428">
        <f t="shared" si="184"/>
        <v>0</v>
      </c>
      <c r="AE428">
        <f t="shared" si="187"/>
        <v>0</v>
      </c>
    </row>
    <row r="429" spans="1:31" x14ac:dyDescent="0.2">
      <c r="A429" s="347">
        <v>42658</v>
      </c>
      <c r="B429" s="364">
        <f t="shared" si="181"/>
        <v>42.658000000000001</v>
      </c>
      <c r="C429" s="337">
        <f t="shared" si="162"/>
        <v>105.40776229766307</v>
      </c>
      <c r="D429" s="338">
        <f t="shared" si="163"/>
        <v>1.5613092171244671</v>
      </c>
      <c r="E429" s="338">
        <f t="shared" si="164"/>
        <v>1.003227549715876</v>
      </c>
      <c r="F429" s="339">
        <f t="shared" si="165"/>
        <v>8.0235810707794772E-2</v>
      </c>
      <c r="G429" s="338">
        <f t="shared" si="166"/>
        <v>1</v>
      </c>
      <c r="H429" s="339">
        <f t="shared" si="167"/>
        <v>0</v>
      </c>
      <c r="I429" s="337">
        <f t="shared" si="168"/>
        <v>5667.3876474563122</v>
      </c>
      <c r="J429" s="340">
        <f t="shared" si="169"/>
        <v>1.5706198786555783</v>
      </c>
      <c r="K429" s="348">
        <f t="shared" si="185"/>
        <v>6.7086452983325637</v>
      </c>
      <c r="L429" s="349">
        <f t="shared" si="186"/>
        <v>1.4211773357348578</v>
      </c>
      <c r="M429" s="337">
        <f t="shared" si="170"/>
        <v>1.0081554169253866</v>
      </c>
      <c r="N429" s="340">
        <f t="shared" si="171"/>
        <v>0.12728216090428263</v>
      </c>
      <c r="O429" s="341">
        <f t="shared" si="172"/>
        <v>0.99957798517362328</v>
      </c>
      <c r="P429" s="342">
        <f t="shared" si="173"/>
        <v>5.2888679672981297E-2</v>
      </c>
      <c r="Q429" s="343">
        <f t="shared" si="174"/>
        <v>2.965145324164717</v>
      </c>
      <c r="R429" s="344">
        <f t="shared" si="175"/>
        <v>-103.74471120074659</v>
      </c>
      <c r="S429" s="346">
        <f t="shared" si="176"/>
        <v>76.255288799253407</v>
      </c>
      <c r="U429" s="319">
        <f t="shared" si="182"/>
        <v>1000000000</v>
      </c>
      <c r="V429" s="319">
        <f t="shared" si="183"/>
        <v>1819704964</v>
      </c>
      <c r="X429" s="345">
        <f t="shared" si="177"/>
        <v>39.101712862509565</v>
      </c>
      <c r="Y429" s="346">
        <f t="shared" si="178"/>
        <v>-15.855157634297546</v>
      </c>
      <c r="AA429" s="345">
        <f t="shared" si="179"/>
        <v>20.696182619750157</v>
      </c>
      <c r="AB429" s="346">
        <f t="shared" si="180"/>
        <v>-87.889553566449052</v>
      </c>
      <c r="AD429">
        <f t="shared" si="184"/>
        <v>0</v>
      </c>
      <c r="AE429">
        <f t="shared" si="187"/>
        <v>0</v>
      </c>
    </row>
    <row r="430" spans="1:31" x14ac:dyDescent="0.2">
      <c r="A430" s="347">
        <v>42906.5</v>
      </c>
      <c r="B430" s="364">
        <f t="shared" si="181"/>
        <v>42.906500000000001</v>
      </c>
      <c r="C430" s="337">
        <f t="shared" si="162"/>
        <v>106.02174978526041</v>
      </c>
      <c r="D430" s="338">
        <f t="shared" si="163"/>
        <v>1.5613641600007457</v>
      </c>
      <c r="E430" s="338">
        <f t="shared" si="164"/>
        <v>1.0032652014219741</v>
      </c>
      <c r="F430" s="339">
        <f t="shared" si="165"/>
        <v>8.0701195655662528E-2</v>
      </c>
      <c r="G430" s="338">
        <f t="shared" si="166"/>
        <v>1</v>
      </c>
      <c r="H430" s="339">
        <f t="shared" si="167"/>
        <v>0</v>
      </c>
      <c r="I430" s="337">
        <f t="shared" si="168"/>
        <v>5700.402457964834</v>
      </c>
      <c r="J430" s="340">
        <f t="shared" si="169"/>
        <v>1.5706209005837646</v>
      </c>
      <c r="K430" s="348">
        <f t="shared" si="185"/>
        <v>6.7468599707913119</v>
      </c>
      <c r="L430" s="349">
        <f t="shared" si="186"/>
        <v>1.4220311137943507</v>
      </c>
      <c r="M430" s="337">
        <f t="shared" si="170"/>
        <v>1.0082503209422995</v>
      </c>
      <c r="N430" s="340">
        <f t="shared" si="171"/>
        <v>0.12801557935239127</v>
      </c>
      <c r="O430" s="341">
        <f t="shared" si="172"/>
        <v>0.99957307256765393</v>
      </c>
      <c r="P430" s="342">
        <f t="shared" si="173"/>
        <v>5.3197329305574151E-2</v>
      </c>
      <c r="Q430" s="343">
        <f t="shared" si="174"/>
        <v>2.9131342355660057</v>
      </c>
      <c r="R430" s="344">
        <f t="shared" si="175"/>
        <v>-103.73204137800718</v>
      </c>
      <c r="S430" s="346">
        <f t="shared" si="176"/>
        <v>76.267958621992818</v>
      </c>
      <c r="U430" s="319">
        <f t="shared" si="182"/>
        <v>1000000000</v>
      </c>
      <c r="V430" s="319">
        <f t="shared" si="183"/>
        <v>1840967742.25</v>
      </c>
      <c r="X430" s="345">
        <f t="shared" si="177"/>
        <v>39.099780580462131</v>
      </c>
      <c r="Y430" s="346">
        <f t="shared" si="178"/>
        <v>-15.848320088705615</v>
      </c>
      <c r="AA430" s="345">
        <f t="shared" si="179"/>
        <v>20.646103813198884</v>
      </c>
      <c r="AB430" s="346">
        <f t="shared" si="180"/>
        <v>-87.883721289301562</v>
      </c>
      <c r="AD430">
        <f t="shared" si="184"/>
        <v>0</v>
      </c>
      <c r="AE430">
        <f t="shared" si="187"/>
        <v>0</v>
      </c>
    </row>
    <row r="431" spans="1:31" x14ac:dyDescent="0.2">
      <c r="A431" s="347">
        <v>43155</v>
      </c>
      <c r="B431" s="364">
        <f t="shared" si="181"/>
        <v>43.155000000000001</v>
      </c>
      <c r="C431" s="337">
        <f t="shared" si="162"/>
        <v>106.63573758922209</v>
      </c>
      <c r="D431" s="338">
        <f t="shared" si="163"/>
        <v>1.5614184701764298</v>
      </c>
      <c r="E431" s="338">
        <f t="shared" si="164"/>
        <v>1.0033030704020731</v>
      </c>
      <c r="F431" s="339">
        <f t="shared" si="165"/>
        <v>8.1166545573045298E-2</v>
      </c>
      <c r="G431" s="338">
        <f t="shared" si="166"/>
        <v>1</v>
      </c>
      <c r="H431" s="339">
        <f t="shared" si="167"/>
        <v>0</v>
      </c>
      <c r="I431" s="337">
        <f t="shared" si="168"/>
        <v>5733.4172684792393</v>
      </c>
      <c r="J431" s="340">
        <f t="shared" si="169"/>
        <v>1.5706219107427861</v>
      </c>
      <c r="K431" s="348">
        <f t="shared" si="185"/>
        <v>6.7850795058853244</v>
      </c>
      <c r="L431" s="349">
        <f t="shared" si="186"/>
        <v>1.4228752740056023</v>
      </c>
      <c r="M431" s="337">
        <f t="shared" si="170"/>
        <v>1.008345767197443</v>
      </c>
      <c r="N431" s="340">
        <f t="shared" si="171"/>
        <v>0.12874885934955313</v>
      </c>
      <c r="O431" s="341">
        <f t="shared" si="172"/>
        <v>0.99956813185878757</v>
      </c>
      <c r="P431" s="342">
        <f t="shared" si="173"/>
        <v>5.3505988550551831E-2</v>
      </c>
      <c r="Q431" s="343">
        <f t="shared" si="174"/>
        <v>2.8614308687791135</v>
      </c>
      <c r="R431" s="344">
        <f t="shared" si="175"/>
        <v>-103.71988031717646</v>
      </c>
      <c r="S431" s="346">
        <f t="shared" si="176"/>
        <v>76.280119682823539</v>
      </c>
      <c r="U431" s="319">
        <f t="shared" si="182"/>
        <v>1000000000</v>
      </c>
      <c r="V431" s="319">
        <f t="shared" si="183"/>
        <v>1862354025</v>
      </c>
      <c r="X431" s="345">
        <f t="shared" si="177"/>
        <v>39.097862625960779</v>
      </c>
      <c r="Y431" s="346">
        <f t="shared" si="178"/>
        <v>-15.842024998248149</v>
      </c>
      <c r="AA431" s="345">
        <f t="shared" si="179"/>
        <v>20.596318400913347</v>
      </c>
      <c r="AB431" s="346">
        <f t="shared" si="180"/>
        <v>-87.877855318928283</v>
      </c>
      <c r="AD431">
        <f t="shared" si="184"/>
        <v>0</v>
      </c>
      <c r="AE431">
        <f t="shared" si="187"/>
        <v>0</v>
      </c>
    </row>
    <row r="432" spans="1:31" x14ac:dyDescent="0.2">
      <c r="A432" s="347">
        <v>43403.5</v>
      </c>
      <c r="B432" s="364">
        <f t="shared" si="181"/>
        <v>43.403500000000001</v>
      </c>
      <c r="C432" s="337">
        <f t="shared" si="162"/>
        <v>107.24972570411475</v>
      </c>
      <c r="D432" s="338">
        <f t="shared" si="163"/>
        <v>1.5614721585175355</v>
      </c>
      <c r="E432" s="338">
        <f t="shared" si="164"/>
        <v>1.0033411566315718</v>
      </c>
      <c r="F432" s="339">
        <f t="shared" si="165"/>
        <v>8.1631860262377454E-2</v>
      </c>
      <c r="G432" s="338">
        <f t="shared" si="166"/>
        <v>1</v>
      </c>
      <c r="H432" s="339">
        <f t="shared" si="167"/>
        <v>0</v>
      </c>
      <c r="I432" s="337">
        <f t="shared" si="168"/>
        <v>5766.432078999429</v>
      </c>
      <c r="J432" s="340">
        <f t="shared" si="169"/>
        <v>1.570622909334791</v>
      </c>
      <c r="K432" s="348">
        <f t="shared" si="185"/>
        <v>6.8233038219030142</v>
      </c>
      <c r="L432" s="349">
        <f t="shared" si="186"/>
        <v>1.4237099767935499</v>
      </c>
      <c r="M432" s="337">
        <f t="shared" si="170"/>
        <v>1.008441755536853</v>
      </c>
      <c r="N432" s="340">
        <f t="shared" si="171"/>
        <v>0.129482000146624</v>
      </c>
      <c r="O432" s="341">
        <f t="shared" si="172"/>
        <v>0.99956316305453508</v>
      </c>
      <c r="P432" s="342">
        <f t="shared" si="173"/>
        <v>5.3814657463493801E-2</v>
      </c>
      <c r="Q432" s="343">
        <f t="shared" si="174"/>
        <v>2.8100314575359171</v>
      </c>
      <c r="R432" s="344">
        <f t="shared" si="175"/>
        <v>-103.70821943232298</v>
      </c>
      <c r="S432" s="346">
        <f t="shared" si="176"/>
        <v>76.291780567677023</v>
      </c>
      <c r="U432" s="319">
        <f t="shared" si="182"/>
        <v>1000000000</v>
      </c>
      <c r="V432" s="319">
        <f t="shared" si="183"/>
        <v>1883863812.25</v>
      </c>
      <c r="X432" s="345">
        <f t="shared" si="177"/>
        <v>39.095958577313887</v>
      </c>
      <c r="Y432" s="346">
        <f t="shared" si="178"/>
        <v>-15.83626313991271</v>
      </c>
      <c r="AA432" s="345">
        <f t="shared" si="179"/>
        <v>20.546823038317036</v>
      </c>
      <c r="AB432" s="346">
        <f t="shared" si="180"/>
        <v>-87.87195629241026</v>
      </c>
      <c r="AD432">
        <f t="shared" si="184"/>
        <v>0</v>
      </c>
      <c r="AE432">
        <f t="shared" si="187"/>
        <v>0</v>
      </c>
    </row>
    <row r="433" spans="1:31" x14ac:dyDescent="0.2">
      <c r="A433" s="347">
        <v>43652</v>
      </c>
      <c r="B433" s="364">
        <f t="shared" si="181"/>
        <v>43.652000000000001</v>
      </c>
      <c r="C433" s="337">
        <f t="shared" si="162"/>
        <v>107.86371412462866</v>
      </c>
      <c r="D433" s="338">
        <f t="shared" si="163"/>
        <v>1.5615252356426852</v>
      </c>
      <c r="E433" s="338">
        <f t="shared" si="164"/>
        <v>1.0033794600857304</v>
      </c>
      <c r="F433" s="339">
        <f t="shared" si="165"/>
        <v>8.2097139526184248E-2</v>
      </c>
      <c r="G433" s="338">
        <f t="shared" si="166"/>
        <v>1</v>
      </c>
      <c r="H433" s="339">
        <f t="shared" si="167"/>
        <v>0</v>
      </c>
      <c r="I433" s="337">
        <f t="shared" si="168"/>
        <v>5799.446889525303</v>
      </c>
      <c r="J433" s="340">
        <f t="shared" si="169"/>
        <v>1.5706238965573232</v>
      </c>
      <c r="K433" s="348">
        <f t="shared" si="185"/>
        <v>6.8615328389434884</v>
      </c>
      <c r="L433" s="349">
        <f t="shared" si="186"/>
        <v>1.4245353790612898</v>
      </c>
      <c r="M433" s="337">
        <f t="shared" si="170"/>
        <v>1.0085382858057497</v>
      </c>
      <c r="N433" s="340">
        <f t="shared" si="171"/>
        <v>0.13021500099534272</v>
      </c>
      <c r="O433" s="341">
        <f t="shared" si="172"/>
        <v>0.99955816616245052</v>
      </c>
      <c r="P433" s="342">
        <f t="shared" si="173"/>
        <v>5.412333609997786E-2</v>
      </c>
      <c r="Q433" s="343">
        <f t="shared" si="174"/>
        <v>2.7589323046209273</v>
      </c>
      <c r="R433" s="344">
        <f t="shared" si="175"/>
        <v>-103.69705032490887</v>
      </c>
      <c r="S433" s="346">
        <f t="shared" si="176"/>
        <v>76.302949675091128</v>
      </c>
      <c r="U433" s="319">
        <f t="shared" si="182"/>
        <v>1000000000</v>
      </c>
      <c r="V433" s="319">
        <f t="shared" si="183"/>
        <v>1905497104</v>
      </c>
      <c r="X433" s="345">
        <f t="shared" si="177"/>
        <v>39.094068024630289</v>
      </c>
      <c r="Y433" s="346">
        <f t="shared" si="178"/>
        <v>-15.831025492260327</v>
      </c>
      <c r="AA433" s="345">
        <f t="shared" si="179"/>
        <v>20.497614438085652</v>
      </c>
      <c r="AB433" s="346">
        <f t="shared" si="180"/>
        <v>-87.866024832648534</v>
      </c>
      <c r="AD433">
        <f t="shared" si="184"/>
        <v>0</v>
      </c>
      <c r="AE433">
        <f t="shared" si="187"/>
        <v>0</v>
      </c>
    </row>
    <row r="434" spans="1:31" x14ac:dyDescent="0.2">
      <c r="A434" s="347">
        <v>43906</v>
      </c>
      <c r="B434" s="364">
        <f t="shared" si="181"/>
        <v>43.905999999999999</v>
      </c>
      <c r="C434" s="337">
        <f t="shared" si="162"/>
        <v>108.49129213652007</v>
      </c>
      <c r="D434" s="338">
        <f t="shared" si="163"/>
        <v>1.5615788666586132</v>
      </c>
      <c r="E434" s="338">
        <f t="shared" si="164"/>
        <v>1.0034188357661067</v>
      </c>
      <c r="F434" s="339">
        <f t="shared" si="165"/>
        <v>8.257267990559311E-2</v>
      </c>
      <c r="G434" s="338">
        <f t="shared" si="166"/>
        <v>1</v>
      </c>
      <c r="H434" s="339">
        <f t="shared" si="167"/>
        <v>0</v>
      </c>
      <c r="I434" s="337">
        <f t="shared" si="168"/>
        <v>5833.192410149074</v>
      </c>
      <c r="J434" s="340">
        <f t="shared" si="169"/>
        <v>1.5706248940811123</v>
      </c>
      <c r="K434" s="348">
        <f t="shared" si="185"/>
        <v>6.9006127479546544</v>
      </c>
      <c r="L434" s="349">
        <f t="shared" si="186"/>
        <v>1.4253695979820984</v>
      </c>
      <c r="M434" s="337">
        <f t="shared" si="170"/>
        <v>1.0086375124513267</v>
      </c>
      <c r="N434" s="340">
        <f t="shared" si="171"/>
        <v>0.13096407979602129</v>
      </c>
      <c r="O434" s="341">
        <f t="shared" si="172"/>
        <v>0.99955302965587389</v>
      </c>
      <c r="P434" s="342">
        <f t="shared" si="173"/>
        <v>5.4438856764589809E-2</v>
      </c>
      <c r="Q434" s="343">
        <f t="shared" si="174"/>
        <v>2.7070087062004773</v>
      </c>
      <c r="R434" s="344">
        <f t="shared" si="175"/>
        <v>-103.68613368581573</v>
      </c>
      <c r="S434" s="346">
        <f t="shared" si="176"/>
        <v>76.313866314184267</v>
      </c>
      <c r="U434" s="319">
        <f t="shared" si="182"/>
        <v>1000000000</v>
      </c>
      <c r="V434" s="319">
        <f t="shared" si="183"/>
        <v>1927736836</v>
      </c>
      <c r="X434" s="345">
        <f t="shared" si="177"/>
        <v>39.092149161271209</v>
      </c>
      <c r="Y434" s="346">
        <f t="shared" si="178"/>
        <v>-15.826204476607211</v>
      </c>
      <c r="AA434" s="345">
        <f t="shared" si="179"/>
        <v>20.447609703024273</v>
      </c>
      <c r="AB434" s="346">
        <f t="shared" si="180"/>
        <v>-87.859929209208502</v>
      </c>
      <c r="AD434">
        <f t="shared" si="184"/>
        <v>0</v>
      </c>
      <c r="AE434">
        <f t="shared" si="187"/>
        <v>0</v>
      </c>
    </row>
    <row r="435" spans="1:31" x14ac:dyDescent="0.2">
      <c r="A435" s="347">
        <v>44160</v>
      </c>
      <c r="B435" s="364">
        <f t="shared" si="181"/>
        <v>44.16</v>
      </c>
      <c r="C435" s="337">
        <f t="shared" si="162"/>
        <v>109.11887045687403</v>
      </c>
      <c r="D435" s="338">
        <f t="shared" si="163"/>
        <v>1.5616318807756582</v>
      </c>
      <c r="E435" s="338">
        <f t="shared" si="164"/>
        <v>1.0034584383404281</v>
      </c>
      <c r="F435" s="339">
        <f t="shared" si="165"/>
        <v>8.3048182857092076E-2</v>
      </c>
      <c r="G435" s="338">
        <f t="shared" si="166"/>
        <v>1</v>
      </c>
      <c r="H435" s="339">
        <f t="shared" si="167"/>
        <v>0</v>
      </c>
      <c r="I435" s="337">
        <f t="shared" si="168"/>
        <v>5866.9379307785821</v>
      </c>
      <c r="J435" s="340">
        <f t="shared" si="169"/>
        <v>1.5706258801297639</v>
      </c>
      <c r="K435" s="348">
        <f t="shared" si="185"/>
        <v>6.9396974051599116</v>
      </c>
      <c r="L435" s="349">
        <f t="shared" si="186"/>
        <v>1.4261944207619606</v>
      </c>
      <c r="M435" s="337">
        <f t="shared" si="170"/>
        <v>1.0087373049510957</v>
      </c>
      <c r="N435" s="340">
        <f t="shared" si="171"/>
        <v>0.13171301080693354</v>
      </c>
      <c r="O435" s="341">
        <f t="shared" si="172"/>
        <v>0.99954786382048011</v>
      </c>
      <c r="P435" s="342">
        <f t="shared" si="173"/>
        <v>5.475438770533575E-2</v>
      </c>
      <c r="Q435" s="343">
        <f t="shared" si="174"/>
        <v>2.6553912069584742</v>
      </c>
      <c r="R435" s="344">
        <f t="shared" si="175"/>
        <v>-103.67571366827427</v>
      </c>
      <c r="S435" s="346">
        <f t="shared" si="176"/>
        <v>76.32428633172573</v>
      </c>
      <c r="U435" s="319">
        <f t="shared" si="182"/>
        <v>1000000000</v>
      </c>
      <c r="V435" s="319">
        <f t="shared" si="183"/>
        <v>1950105600</v>
      </c>
      <c r="X435" s="345">
        <f t="shared" si="177"/>
        <v>39.09024356800542</v>
      </c>
      <c r="Y435" s="346">
        <f t="shared" si="178"/>
        <v>-15.82191269496783</v>
      </c>
      <c r="AA435" s="345">
        <f t="shared" si="179"/>
        <v>20.397897797048063</v>
      </c>
      <c r="AB435" s="346">
        <f t="shared" si="180"/>
        <v>-87.85380097330642</v>
      </c>
      <c r="AD435">
        <f t="shared" si="184"/>
        <v>0</v>
      </c>
      <c r="AE435">
        <f t="shared" si="187"/>
        <v>0</v>
      </c>
    </row>
    <row r="436" spans="1:31" x14ac:dyDescent="0.2">
      <c r="A436" s="347">
        <v>44414</v>
      </c>
      <c r="B436" s="364">
        <f t="shared" si="181"/>
        <v>44.414000000000001</v>
      </c>
      <c r="C436" s="337">
        <f t="shared" si="162"/>
        <v>109.74644908039875</v>
      </c>
      <c r="D436" s="338">
        <f t="shared" si="163"/>
        <v>1.5616842885766196</v>
      </c>
      <c r="E436" s="338">
        <f t="shared" si="164"/>
        <v>1.0034982677818323</v>
      </c>
      <c r="F436" s="339">
        <f t="shared" si="165"/>
        <v>8.3523648170099787E-2</v>
      </c>
      <c r="G436" s="338">
        <f t="shared" si="166"/>
        <v>1</v>
      </c>
      <c r="H436" s="339">
        <f t="shared" si="167"/>
        <v>0</v>
      </c>
      <c r="I436" s="337">
        <f t="shared" si="168"/>
        <v>5900.6834514137299</v>
      </c>
      <c r="J436" s="340">
        <f t="shared" si="169"/>
        <v>1.5706268549001541</v>
      </c>
      <c r="K436" s="348">
        <f t="shared" si="185"/>
        <v>6.9787867307825548</v>
      </c>
      <c r="L436" s="349">
        <f t="shared" si="186"/>
        <v>1.4270100041569991</v>
      </c>
      <c r="M436" s="337">
        <f t="shared" si="170"/>
        <v>1.0088376631371372</v>
      </c>
      <c r="N436" s="340">
        <f t="shared" si="171"/>
        <v>0.13246179323191473</v>
      </c>
      <c r="O436" s="341">
        <f t="shared" si="172"/>
        <v>0.99954266866447694</v>
      </c>
      <c r="P436" s="342">
        <f t="shared" si="173"/>
        <v>5.5069928981560705E-2</v>
      </c>
      <c r="Q436" s="343">
        <f t="shared" si="174"/>
        <v>2.6040760715694939</v>
      </c>
      <c r="R436" s="344">
        <f t="shared" si="175"/>
        <v>-103.66578187829887</v>
      </c>
      <c r="S436" s="346">
        <f t="shared" si="176"/>
        <v>76.334218121701127</v>
      </c>
      <c r="U436" s="319">
        <f t="shared" si="182"/>
        <v>1000000000</v>
      </c>
      <c r="V436" s="319">
        <f t="shared" si="183"/>
        <v>1972603396</v>
      </c>
      <c r="X436" s="345">
        <f t="shared" si="177"/>
        <v>39.088350842861082</v>
      </c>
      <c r="Y436" s="346">
        <f t="shared" si="178"/>
        <v>-15.818141131541211</v>
      </c>
      <c r="AA436" s="345">
        <f t="shared" si="179"/>
        <v>20.348475386803418</v>
      </c>
      <c r="AB436" s="346">
        <f t="shared" si="180"/>
        <v>-87.847640746757676</v>
      </c>
      <c r="AD436">
        <f t="shared" si="184"/>
        <v>0</v>
      </c>
      <c r="AE436">
        <f t="shared" si="187"/>
        <v>0</v>
      </c>
    </row>
    <row r="437" spans="1:31" x14ac:dyDescent="0.2">
      <c r="A437" s="347">
        <v>44668</v>
      </c>
      <c r="B437" s="364">
        <f t="shared" si="181"/>
        <v>44.667999999999999</v>
      </c>
      <c r="C437" s="337">
        <f t="shared" si="162"/>
        <v>110.37402800192282</v>
      </c>
      <c r="D437" s="338">
        <f t="shared" si="163"/>
        <v>1.5617361004036181</v>
      </c>
      <c r="E437" s="338">
        <f t="shared" si="164"/>
        <v>1.0035383240633067</v>
      </c>
      <c r="F437" s="339">
        <f t="shared" si="165"/>
        <v>8.3999075634136319E-2</v>
      </c>
      <c r="G437" s="338">
        <f t="shared" si="166"/>
        <v>1</v>
      </c>
      <c r="H437" s="339">
        <f t="shared" si="167"/>
        <v>0</v>
      </c>
      <c r="I437" s="337">
        <f t="shared" si="168"/>
        <v>5934.4289720544202</v>
      </c>
      <c r="J437" s="340">
        <f t="shared" si="169"/>
        <v>1.5706278185846809</v>
      </c>
      <c r="K437" s="348">
        <f t="shared" si="185"/>
        <v>7.0178806468138673</v>
      </c>
      <c r="L437" s="349">
        <f t="shared" si="186"/>
        <v>1.4278165014802198</v>
      </c>
      <c r="M437" s="337">
        <f t="shared" si="170"/>
        <v>1.0089385868406462</v>
      </c>
      <c r="N437" s="340">
        <f t="shared" si="171"/>
        <v>0.13321042627578245</v>
      </c>
      <c r="O437" s="341">
        <f t="shared" si="172"/>
        <v>0.99953744419612045</v>
      </c>
      <c r="P437" s="342">
        <f t="shared" si="173"/>
        <v>5.5385480652607878E-2</v>
      </c>
      <c r="Q437" s="343">
        <f t="shared" si="174"/>
        <v>2.553059632962734</v>
      </c>
      <c r="R437" s="344">
        <f t="shared" si="175"/>
        <v>-103.65633010518404</v>
      </c>
      <c r="S437" s="346">
        <f t="shared" si="176"/>
        <v>76.34366989481596</v>
      </c>
      <c r="U437" s="319">
        <f t="shared" si="182"/>
        <v>1000000000</v>
      </c>
      <c r="V437" s="319">
        <f t="shared" si="183"/>
        <v>1995230224</v>
      </c>
      <c r="X437" s="345">
        <f t="shared" si="177"/>
        <v>39.086470595124958</v>
      </c>
      <c r="Y437" s="346">
        <f t="shared" si="178"/>
        <v>-15.814880967602166</v>
      </c>
      <c r="AA437" s="345">
        <f t="shared" si="179"/>
        <v>20.299339195932781</v>
      </c>
      <c r="AB437" s="346">
        <f t="shared" si="180"/>
        <v>-87.841449137581904</v>
      </c>
      <c r="AD437">
        <f t="shared" si="184"/>
        <v>0</v>
      </c>
      <c r="AE437">
        <f t="shared" si="187"/>
        <v>0</v>
      </c>
    </row>
    <row r="438" spans="1:31" x14ac:dyDescent="0.2">
      <c r="A438" s="347">
        <v>44928.25</v>
      </c>
      <c r="B438" s="364">
        <f t="shared" si="181"/>
        <v>44.928249999999998</v>
      </c>
      <c r="C438" s="337">
        <f t="shared" si="162"/>
        <v>111.01704962197319</v>
      </c>
      <c r="D438" s="338">
        <f t="shared" si="163"/>
        <v>1.5617885795453981</v>
      </c>
      <c r="E438" s="338">
        <f t="shared" si="164"/>
        <v>1.0035796012345084</v>
      </c>
      <c r="F438" s="339">
        <f t="shared" si="165"/>
        <v>8.4486162131197098E-2</v>
      </c>
      <c r="G438" s="338">
        <f t="shared" si="166"/>
        <v>1</v>
      </c>
      <c r="H438" s="339">
        <f t="shared" si="167"/>
        <v>0</v>
      </c>
      <c r="I438" s="337">
        <f t="shared" si="168"/>
        <v>5969.0048450787299</v>
      </c>
      <c r="J438" s="340">
        <f t="shared" si="169"/>
        <v>1.5706287946801418</v>
      </c>
      <c r="K438" s="348">
        <f t="shared" si="185"/>
        <v>7.0579412009019711</v>
      </c>
      <c r="L438" s="349">
        <f t="shared" si="186"/>
        <v>1.4286335763318925</v>
      </c>
      <c r="M438" s="337">
        <f t="shared" si="170"/>
        <v>1.0090425802871565</v>
      </c>
      <c r="N438" s="340">
        <f t="shared" si="171"/>
        <v>0.13397732463791787</v>
      </c>
      <c r="O438" s="341">
        <f t="shared" si="172"/>
        <v>0.99953206077848533</v>
      </c>
      <c r="P438" s="342">
        <f t="shared" si="173"/>
        <v>5.5708807726180545E-2</v>
      </c>
      <c r="Q438" s="343">
        <f t="shared" si="174"/>
        <v>2.5010939158725747</v>
      </c>
      <c r="R438" s="344">
        <f t="shared" si="175"/>
        <v>-103.64713523975766</v>
      </c>
      <c r="S438" s="346">
        <f t="shared" si="176"/>
        <v>76.35286476024234</v>
      </c>
      <c r="U438" s="319">
        <f t="shared" si="182"/>
        <v>1000000000</v>
      </c>
      <c r="V438" s="319">
        <f t="shared" si="183"/>
        <v>2018547648.0625</v>
      </c>
      <c r="X438" s="345">
        <f t="shared" si="177"/>
        <v>39.084556626046869</v>
      </c>
      <c r="Y438" s="346">
        <f t="shared" si="178"/>
        <v>-15.812061992667985</v>
      </c>
      <c r="AA438" s="345">
        <f t="shared" si="179"/>
        <v>20.249287447920711</v>
      </c>
      <c r="AB438" s="346">
        <f t="shared" si="180"/>
        <v>-87.835073247089696</v>
      </c>
      <c r="AD438">
        <f t="shared" si="184"/>
        <v>0</v>
      </c>
      <c r="AE438">
        <f t="shared" si="187"/>
        <v>0</v>
      </c>
    </row>
    <row r="439" spans="1:31" x14ac:dyDescent="0.2">
      <c r="A439" s="347">
        <v>45188.5</v>
      </c>
      <c r="B439" s="364">
        <f t="shared" si="181"/>
        <v>45.188499999999998</v>
      </c>
      <c r="C439" s="337">
        <f t="shared" si="162"/>
        <v>111.66007154424975</v>
      </c>
      <c r="D439" s="338">
        <f t="shared" si="163"/>
        <v>1.5618404542592881</v>
      </c>
      <c r="E439" s="338">
        <f t="shared" si="164"/>
        <v>1.0036211164886193</v>
      </c>
      <c r="F439" s="339">
        <f t="shared" si="165"/>
        <v>8.497320844668442E-2</v>
      </c>
      <c r="G439" s="338">
        <f t="shared" si="166"/>
        <v>1</v>
      </c>
      <c r="H439" s="339">
        <f t="shared" si="167"/>
        <v>0</v>
      </c>
      <c r="I439" s="337">
        <f t="shared" si="168"/>
        <v>6003.5807181086629</v>
      </c>
      <c r="J439" s="340">
        <f t="shared" si="169"/>
        <v>1.570629759532528</v>
      </c>
      <c r="K439" s="348">
        <f t="shared" si="185"/>
        <v>7.0980064137618166</v>
      </c>
      <c r="L439" s="349">
        <f t="shared" si="186"/>
        <v>1.4294414276411154</v>
      </c>
      <c r="M439" s="337">
        <f t="shared" si="170"/>
        <v>1.0091471670624905</v>
      </c>
      <c r="N439" s="340">
        <f t="shared" si="171"/>
        <v>0.13474406449010837</v>
      </c>
      <c r="O439" s="341">
        <f t="shared" si="172"/>
        <v>0.99952664660591206</v>
      </c>
      <c r="P439" s="342">
        <f t="shared" si="173"/>
        <v>5.6032145838551602E-2</v>
      </c>
      <c r="Q439" s="343">
        <f t="shared" si="174"/>
        <v>2.4494341943709581</v>
      </c>
      <c r="R439" s="344">
        <f t="shared" si="175"/>
        <v>-103.63842742179882</v>
      </c>
      <c r="S439" s="346">
        <f t="shared" si="176"/>
        <v>76.361572578201176</v>
      </c>
      <c r="U439" s="319">
        <f t="shared" si="182"/>
        <v>1000000000</v>
      </c>
      <c r="V439" s="319">
        <f t="shared" si="183"/>
        <v>2042000532.25</v>
      </c>
      <c r="X439" s="345">
        <f t="shared" si="177"/>
        <v>39.082654960176079</v>
      </c>
      <c r="Y439" s="346">
        <f t="shared" si="178"/>
        <v>-15.809761761657347</v>
      </c>
      <c r="AA439" s="345">
        <f t="shared" si="179"/>
        <v>20.199529392289882</v>
      </c>
      <c r="AB439" s="346">
        <f t="shared" si="180"/>
        <v>-87.828665660141496</v>
      </c>
      <c r="AD439">
        <f t="shared" si="184"/>
        <v>0</v>
      </c>
      <c r="AE439">
        <f t="shared" si="187"/>
        <v>0</v>
      </c>
    </row>
    <row r="440" spans="1:31" x14ac:dyDescent="0.2">
      <c r="A440" s="347">
        <v>45448.75</v>
      </c>
      <c r="B440" s="364">
        <f t="shared" si="181"/>
        <v>45.448749999999997</v>
      </c>
      <c r="C440" s="337">
        <f t="shared" si="162"/>
        <v>112.30309376356109</v>
      </c>
      <c r="D440" s="338">
        <f t="shared" si="163"/>
        <v>1.5618917349274601</v>
      </c>
      <c r="E440" s="338">
        <f t="shared" si="164"/>
        <v>1.0036628697960954</v>
      </c>
      <c r="F440" s="339">
        <f t="shared" si="165"/>
        <v>8.5460214354530342E-2</v>
      </c>
      <c r="G440" s="338">
        <f t="shared" si="166"/>
        <v>1</v>
      </c>
      <c r="H440" s="339">
        <f t="shared" si="167"/>
        <v>0</v>
      </c>
      <c r="I440" s="337">
        <f t="shared" si="168"/>
        <v>6038.1565911441194</v>
      </c>
      <c r="J440" s="340">
        <f t="shared" si="169"/>
        <v>1.5706307133349811</v>
      </c>
      <c r="K440" s="348">
        <f t="shared" si="185"/>
        <v>7.1380762069459269</v>
      </c>
      <c r="L440" s="349">
        <f t="shared" si="186"/>
        <v>1.4302402096743152</v>
      </c>
      <c r="M440" s="337">
        <f t="shared" si="170"/>
        <v>1.0092523469821919</v>
      </c>
      <c r="N440" s="340">
        <f t="shared" si="171"/>
        <v>0.13551064498025553</v>
      </c>
      <c r="O440" s="341">
        <f t="shared" si="172"/>
        <v>0.9995212016874363</v>
      </c>
      <c r="P440" s="342">
        <f t="shared" si="173"/>
        <v>5.6355495053547533E-2</v>
      </c>
      <c r="Q440" s="343">
        <f t="shared" si="174"/>
        <v>2.3980767361808715</v>
      </c>
      <c r="R440" s="344">
        <f t="shared" si="175"/>
        <v>-103.63019838620124</v>
      </c>
      <c r="S440" s="346">
        <f t="shared" si="176"/>
        <v>76.369801613798757</v>
      </c>
      <c r="U440" s="319">
        <f t="shared" si="182"/>
        <v>1000000000</v>
      </c>
      <c r="V440" s="319">
        <f t="shared" si="183"/>
        <v>2065588876.5625</v>
      </c>
      <c r="X440" s="345">
        <f t="shared" si="177"/>
        <v>39.080765211631103</v>
      </c>
      <c r="Y440" s="346">
        <f t="shared" si="178"/>
        <v>-15.807971397999619</v>
      </c>
      <c r="AA440" s="345">
        <f t="shared" si="179"/>
        <v>20.150061682644775</v>
      </c>
      <c r="AB440" s="346">
        <f t="shared" si="180"/>
        <v>-87.822226988201635</v>
      </c>
      <c r="AD440">
        <f t="shared" si="184"/>
        <v>0</v>
      </c>
      <c r="AE440">
        <f t="shared" si="187"/>
        <v>0</v>
      </c>
    </row>
    <row r="441" spans="1:31" x14ac:dyDescent="0.2">
      <c r="A441" s="347">
        <v>45709</v>
      </c>
      <c r="B441" s="364">
        <f t="shared" si="181"/>
        <v>45.709000000000003</v>
      </c>
      <c r="C441" s="337">
        <f t="shared" si="162"/>
        <v>112.94611627483397</v>
      </c>
      <c r="D441" s="338">
        <f t="shared" si="163"/>
        <v>1.5619424316956689</v>
      </c>
      <c r="E441" s="338">
        <f t="shared" si="164"/>
        <v>1.0037048611272283</v>
      </c>
      <c r="F441" s="339">
        <f t="shared" si="165"/>
        <v>8.5947179628781109E-2</v>
      </c>
      <c r="G441" s="338">
        <f t="shared" si="166"/>
        <v>1</v>
      </c>
      <c r="H441" s="339">
        <f t="shared" si="167"/>
        <v>0</v>
      </c>
      <c r="I441" s="337">
        <f t="shared" si="168"/>
        <v>6072.7324641850073</v>
      </c>
      <c r="J441" s="340">
        <f t="shared" si="169"/>
        <v>1.5706316562762435</v>
      </c>
      <c r="K441" s="348">
        <f t="shared" si="185"/>
        <v>7.1781505037495963</v>
      </c>
      <c r="L441" s="349">
        <f t="shared" si="186"/>
        <v>1.4310300732998411</v>
      </c>
      <c r="M441" s="337">
        <f t="shared" si="170"/>
        <v>1.009358119860835</v>
      </c>
      <c r="N441" s="340">
        <f t="shared" si="171"/>
        <v>0.1362770652573643</v>
      </c>
      <c r="O441" s="341">
        <f t="shared" si="172"/>
        <v>0.99951572603214611</v>
      </c>
      <c r="P441" s="342">
        <f t="shared" si="173"/>
        <v>5.6678855434992792E-2</v>
      </c>
      <c r="Q441" s="343">
        <f t="shared" si="174"/>
        <v>2.3470178771614663</v>
      </c>
      <c r="R441" s="344">
        <f t="shared" si="175"/>
        <v>-103.62244004881296</v>
      </c>
      <c r="S441" s="346">
        <f t="shared" si="176"/>
        <v>76.377559951187038</v>
      </c>
      <c r="U441" s="319">
        <f t="shared" si="182"/>
        <v>1000000000</v>
      </c>
      <c r="V441" s="319">
        <f t="shared" si="183"/>
        <v>2089312681</v>
      </c>
      <c r="X441" s="345">
        <f t="shared" si="177"/>
        <v>39.078887005374874</v>
      </c>
      <c r="Y441" s="346">
        <f t="shared" si="178"/>
        <v>-15.806682219630863</v>
      </c>
      <c r="AA441" s="345">
        <f t="shared" si="179"/>
        <v>20.100881029881599</v>
      </c>
      <c r="AB441" s="346">
        <f t="shared" si="180"/>
        <v>-87.815757829182104</v>
      </c>
      <c r="AD441">
        <f t="shared" si="184"/>
        <v>0</v>
      </c>
      <c r="AE441">
        <f t="shared" si="187"/>
        <v>0</v>
      </c>
    </row>
    <row r="442" spans="1:31" x14ac:dyDescent="0.2">
      <c r="A442" s="347">
        <v>45975.25</v>
      </c>
      <c r="B442" s="364">
        <f t="shared" si="181"/>
        <v>45.975250000000003</v>
      </c>
      <c r="C442" s="337">
        <f t="shared" si="162"/>
        <v>113.60396380955748</v>
      </c>
      <c r="D442" s="338">
        <f t="shared" si="163"/>
        <v>1.5619937033568942</v>
      </c>
      <c r="E442" s="338">
        <f t="shared" si="164"/>
        <v>1.0037480668453418</v>
      </c>
      <c r="F442" s="339">
        <f t="shared" si="165"/>
        <v>8.6445329483049616E-2</v>
      </c>
      <c r="G442" s="338">
        <f t="shared" si="166"/>
        <v>1</v>
      </c>
      <c r="H442" s="339">
        <f t="shared" si="167"/>
        <v>0</v>
      </c>
      <c r="I442" s="337">
        <f t="shared" si="168"/>
        <v>6108.1054755147834</v>
      </c>
      <c r="J442" s="340">
        <f t="shared" si="169"/>
        <v>1.5706326099094441</v>
      </c>
      <c r="K442" s="348">
        <f t="shared" si="185"/>
        <v>7.2191532860004806</v>
      </c>
      <c r="L442" s="349">
        <f t="shared" si="186"/>
        <v>1.4318290717014006</v>
      </c>
      <c r="M442" s="337">
        <f t="shared" si="170"/>
        <v>1.0094669447352214</v>
      </c>
      <c r="N442" s="340">
        <f t="shared" si="171"/>
        <v>0.13706098848384121</v>
      </c>
      <c r="O442" s="341">
        <f t="shared" si="172"/>
        <v>0.99951009233856858</v>
      </c>
      <c r="P442" s="342">
        <f t="shared" si="173"/>
        <v>5.7009682432953519E-2</v>
      </c>
      <c r="Q442" s="343">
        <f t="shared" si="174"/>
        <v>2.2950871221229328</v>
      </c>
      <c r="R442" s="344">
        <f t="shared" si="175"/>
        <v>-103.61498170036873</v>
      </c>
      <c r="S442" s="346">
        <f t="shared" si="176"/>
        <v>76.38501829963127</v>
      </c>
      <c r="U442" s="319">
        <f t="shared" si="182"/>
        <v>1000000000</v>
      </c>
      <c r="V442" s="319">
        <f t="shared" si="183"/>
        <v>2113723612.5625</v>
      </c>
      <c r="X442" s="345">
        <f t="shared" si="177"/>
        <v>39.076977061953848</v>
      </c>
      <c r="Y442" s="346">
        <f t="shared" si="178"/>
        <v>-15.805873114879878</v>
      </c>
      <c r="AA442" s="345">
        <f t="shared" si="179"/>
        <v>20.050860218264084</v>
      </c>
      <c r="AB442" s="346">
        <f t="shared" si="180"/>
        <v>-87.809108585488843</v>
      </c>
      <c r="AD442">
        <f t="shared" si="184"/>
        <v>0</v>
      </c>
      <c r="AE442">
        <f t="shared" si="187"/>
        <v>0</v>
      </c>
    </row>
    <row r="443" spans="1:31" x14ac:dyDescent="0.2">
      <c r="A443" s="347">
        <v>46241.5</v>
      </c>
      <c r="B443" s="364">
        <f t="shared" si="181"/>
        <v>46.241500000000002</v>
      </c>
      <c r="C443" s="337">
        <f t="shared" si="162"/>
        <v>114.26181163948239</v>
      </c>
      <c r="D443" s="338">
        <f t="shared" si="163"/>
        <v>1.5620443846381309</v>
      </c>
      <c r="E443" s="338">
        <f t="shared" si="164"/>
        <v>1.0037915216253492</v>
      </c>
      <c r="F443" s="339">
        <f t="shared" si="165"/>
        <v>8.694343633046149E-2</v>
      </c>
      <c r="G443" s="338">
        <f t="shared" si="166"/>
        <v>1</v>
      </c>
      <c r="H443" s="339">
        <f t="shared" si="167"/>
        <v>0</v>
      </c>
      <c r="I443" s="337">
        <f t="shared" si="168"/>
        <v>6143.4784868500492</v>
      </c>
      <c r="J443" s="340">
        <f t="shared" si="169"/>
        <v>1.5706335525609578</v>
      </c>
      <c r="K443" s="348">
        <f t="shared" si="185"/>
        <v>7.2601606248893713</v>
      </c>
      <c r="L443" s="349">
        <f t="shared" si="186"/>
        <v>1.4326190446870231</v>
      </c>
      <c r="M443" s="337">
        <f t="shared" si="170"/>
        <v>1.009576389829046</v>
      </c>
      <c r="N443" s="340">
        <f t="shared" si="171"/>
        <v>0.13784474222642912</v>
      </c>
      <c r="O443" s="341">
        <f t="shared" si="172"/>
        <v>0.99950442649399085</v>
      </c>
      <c r="P443" s="342">
        <f t="shared" si="173"/>
        <v>5.7340521253314299E-2</v>
      </c>
      <c r="Q443" s="343">
        <f t="shared" si="174"/>
        <v>2.2434613459952666</v>
      </c>
      <c r="R443" s="344">
        <f t="shared" si="175"/>
        <v>-103.60799944545404</v>
      </c>
      <c r="S443" s="346">
        <f t="shared" si="176"/>
        <v>76.392000554545959</v>
      </c>
      <c r="U443" s="319">
        <f t="shared" si="182"/>
        <v>1000000000</v>
      </c>
      <c r="V443" s="319">
        <f t="shared" si="183"/>
        <v>2138276322.25</v>
      </c>
      <c r="X443" s="345">
        <f t="shared" si="177"/>
        <v>39.075078438281786</v>
      </c>
      <c r="Y443" s="346">
        <f t="shared" si="178"/>
        <v>-15.805570788455174</v>
      </c>
      <c r="AA443" s="345">
        <f t="shared" si="179"/>
        <v>20.001133065808485</v>
      </c>
      <c r="AB443" s="346">
        <f t="shared" si="180"/>
        <v>-87.80242865699887</v>
      </c>
      <c r="AD443">
        <f t="shared" si="184"/>
        <v>0</v>
      </c>
      <c r="AE443">
        <f t="shared" si="187"/>
        <v>0</v>
      </c>
    </row>
    <row r="444" spans="1:31" x14ac:dyDescent="0.2">
      <c r="A444" s="347">
        <v>46507.75</v>
      </c>
      <c r="B444" s="364">
        <f t="shared" si="181"/>
        <v>46.507750000000001</v>
      </c>
      <c r="C444" s="337">
        <f t="shared" si="162"/>
        <v>114.91965975953919</v>
      </c>
      <c r="D444" s="338">
        <f t="shared" si="163"/>
        <v>1.5620944856778611</v>
      </c>
      <c r="E444" s="338">
        <f t="shared" si="164"/>
        <v>1.0038352254349059</v>
      </c>
      <c r="F444" s="339">
        <f t="shared" si="165"/>
        <v>8.7441499929446956E-2</v>
      </c>
      <c r="G444" s="338">
        <f t="shared" si="166"/>
        <v>1</v>
      </c>
      <c r="H444" s="339">
        <f t="shared" si="167"/>
        <v>0</v>
      </c>
      <c r="I444" s="337">
        <f t="shared" si="168"/>
        <v>6178.851498190711</v>
      </c>
      <c r="J444" s="340">
        <f t="shared" si="169"/>
        <v>1.5706344844193907</v>
      </c>
      <c r="K444" s="348">
        <f t="shared" si="185"/>
        <v>7.3011724436386283</v>
      </c>
      <c r="L444" s="349">
        <f t="shared" si="186"/>
        <v>1.4334001433538166</v>
      </c>
      <c r="M444" s="337">
        <f t="shared" si="170"/>
        <v>1.009686454940623</v>
      </c>
      <c r="N444" s="340">
        <f t="shared" si="171"/>
        <v>0.1386283255775263</v>
      </c>
      <c r="O444" s="341">
        <f t="shared" si="172"/>
        <v>0.99949872850831489</v>
      </c>
      <c r="P444" s="342">
        <f t="shared" si="173"/>
        <v>5.7671371964409704E-2</v>
      </c>
      <c r="Q444" s="343">
        <f t="shared" si="174"/>
        <v>2.1921368360567834</v>
      </c>
      <c r="R444" s="344">
        <f t="shared" si="175"/>
        <v>-103.60148518429538</v>
      </c>
      <c r="S444" s="346">
        <f t="shared" si="176"/>
        <v>76.398514815704615</v>
      </c>
      <c r="U444" s="319">
        <f t="shared" si="182"/>
        <v>1000000000</v>
      </c>
      <c r="V444" s="319">
        <f t="shared" si="183"/>
        <v>2162970810.0625</v>
      </c>
      <c r="X444" s="345">
        <f t="shared" si="177"/>
        <v>39.073190765725208</v>
      </c>
      <c r="Y444" s="346">
        <f t="shared" si="178"/>
        <v>-15.805766541934727</v>
      </c>
      <c r="AA444" s="345">
        <f t="shared" si="179"/>
        <v>19.951696228426577</v>
      </c>
      <c r="AB444" s="346">
        <f t="shared" si="180"/>
        <v>-87.795718642360669</v>
      </c>
      <c r="AD444">
        <f t="shared" si="184"/>
        <v>0</v>
      </c>
      <c r="AE444">
        <f t="shared" si="187"/>
        <v>0</v>
      </c>
    </row>
    <row r="445" spans="1:31" x14ac:dyDescent="0.2">
      <c r="A445" s="347">
        <v>46774</v>
      </c>
      <c r="B445" s="364">
        <f t="shared" si="181"/>
        <v>46.774000000000001</v>
      </c>
      <c r="C445" s="337">
        <f t="shared" si="162"/>
        <v>115.57750816477368</v>
      </c>
      <c r="D445" s="338">
        <f t="shared" si="163"/>
        <v>1.5621440163837521</v>
      </c>
      <c r="E445" s="338">
        <f t="shared" si="164"/>
        <v>1.0038791782414873</v>
      </c>
      <c r="F445" s="339">
        <f t="shared" si="165"/>
        <v>8.7939520038564048E-2</v>
      </c>
      <c r="G445" s="338">
        <f t="shared" si="166"/>
        <v>1</v>
      </c>
      <c r="H445" s="339">
        <f t="shared" si="167"/>
        <v>0</v>
      </c>
      <c r="I445" s="337">
        <f t="shared" si="168"/>
        <v>6214.2245095366779</v>
      </c>
      <c r="J445" s="340">
        <f t="shared" si="169"/>
        <v>1.5706354056690537</v>
      </c>
      <c r="K445" s="348">
        <f t="shared" si="185"/>
        <v>7.3421886671777656</v>
      </c>
      <c r="L445" s="349">
        <f t="shared" si="186"/>
        <v>1.4341725154664191</v>
      </c>
      <c r="M445" s="337">
        <f t="shared" si="170"/>
        <v>1.0097971398672112</v>
      </c>
      <c r="N445" s="340">
        <f t="shared" si="171"/>
        <v>0.13941173763076251</v>
      </c>
      <c r="O445" s="341">
        <f t="shared" si="172"/>
        <v>0.99949299839149919</v>
      </c>
      <c r="P445" s="342">
        <f t="shared" si="173"/>
        <v>5.800223463457202E-2</v>
      </c>
      <c r="Q445" s="343">
        <f t="shared" si="174"/>
        <v>2.141109947204308</v>
      </c>
      <c r="R445" s="344">
        <f t="shared" si="175"/>
        <v>-103.59543099464797</v>
      </c>
      <c r="S445" s="346">
        <f t="shared" si="176"/>
        <v>76.40456900535203</v>
      </c>
      <c r="U445" s="319">
        <f t="shared" si="182"/>
        <v>1000000000</v>
      </c>
      <c r="V445" s="319">
        <f t="shared" si="183"/>
        <v>2187807076</v>
      </c>
      <c r="X445" s="345">
        <f t="shared" si="177"/>
        <v>39.071313686031104</v>
      </c>
      <c r="Y445" s="346">
        <f t="shared" si="178"/>
        <v>-15.806451867657461</v>
      </c>
      <c r="AA445" s="345">
        <f t="shared" si="179"/>
        <v>19.902546419268209</v>
      </c>
      <c r="AB445" s="346">
        <f t="shared" si="180"/>
        <v>-87.788979126990512</v>
      </c>
      <c r="AD445">
        <f t="shared" si="184"/>
        <v>0</v>
      </c>
      <c r="AE445">
        <f t="shared" si="187"/>
        <v>0</v>
      </c>
    </row>
    <row r="446" spans="1:31" x14ac:dyDescent="0.2">
      <c r="A446" s="347">
        <v>47046.25</v>
      </c>
      <c r="B446" s="364">
        <f t="shared" si="181"/>
        <v>47.046250000000001</v>
      </c>
      <c r="C446" s="337">
        <f t="shared" si="162"/>
        <v>116.25018161264829</v>
      </c>
      <c r="D446" s="338">
        <f t="shared" si="163"/>
        <v>1.5621940836041157</v>
      </c>
      <c r="E446" s="338">
        <f t="shared" si="164"/>
        <v>1.0039243789768284</v>
      </c>
      <c r="F446" s="339">
        <f t="shared" si="165"/>
        <v>8.8448717913658811E-2</v>
      </c>
      <c r="G446" s="338">
        <f t="shared" si="166"/>
        <v>1</v>
      </c>
      <c r="H446" s="339">
        <f t="shared" si="167"/>
        <v>0</v>
      </c>
      <c r="I446" s="337">
        <f t="shared" si="168"/>
        <v>6250.3946591718886</v>
      </c>
      <c r="J446" s="340">
        <f t="shared" si="169"/>
        <v>1.570636336896851</v>
      </c>
      <c r="K446" s="348">
        <f t="shared" si="185"/>
        <v>7.3841336783113034</v>
      </c>
      <c r="L446" s="349">
        <f t="shared" si="186"/>
        <v>1.4349534199445237</v>
      </c>
      <c r="M446" s="337">
        <f t="shared" si="170"/>
        <v>1.009910959813568</v>
      </c>
      <c r="N446" s="340">
        <f t="shared" si="171"/>
        <v>0.14021262596543907</v>
      </c>
      <c r="O446" s="341">
        <f t="shared" si="172"/>
        <v>0.99948710593030499</v>
      </c>
      <c r="P446" s="342">
        <f t="shared" si="173"/>
        <v>5.8340565802448487E-2</v>
      </c>
      <c r="Q446" s="343">
        <f t="shared" si="174"/>
        <v>2.0892371852775313</v>
      </c>
      <c r="R446" s="344">
        <f t="shared" si="175"/>
        <v>-103.58970803993981</v>
      </c>
      <c r="S446" s="346">
        <f t="shared" si="176"/>
        <v>76.410291960060192</v>
      </c>
      <c r="U446" s="319">
        <f t="shared" si="182"/>
        <v>1000000000</v>
      </c>
      <c r="V446" s="319">
        <f t="shared" si="183"/>
        <v>2213349639.0625</v>
      </c>
      <c r="X446" s="345">
        <f t="shared" si="177"/>
        <v>39.069404896847779</v>
      </c>
      <c r="Y446" s="346">
        <f t="shared" si="178"/>
        <v>-15.807650213721352</v>
      </c>
      <c r="AA446" s="345">
        <f t="shared" si="179"/>
        <v>19.852582446524764</v>
      </c>
      <c r="AB446" s="346">
        <f t="shared" si="180"/>
        <v>-87.782057826218477</v>
      </c>
      <c r="AD446">
        <f t="shared" si="184"/>
        <v>0</v>
      </c>
      <c r="AE446">
        <f t="shared" si="187"/>
        <v>0</v>
      </c>
    </row>
    <row r="447" spans="1:31" x14ac:dyDescent="0.2">
      <c r="A447" s="347">
        <v>47318.5</v>
      </c>
      <c r="B447" s="364">
        <f t="shared" si="181"/>
        <v>47.3185</v>
      </c>
      <c r="C447" s="337">
        <f t="shared" si="162"/>
        <v>116.92285534857727</v>
      </c>
      <c r="D447" s="338">
        <f t="shared" si="163"/>
        <v>1.5622435747369916</v>
      </c>
      <c r="E447" s="338">
        <f t="shared" si="164"/>
        <v>1.0039698399886903</v>
      </c>
      <c r="F447" s="339">
        <f t="shared" si="165"/>
        <v>8.8957869806522663E-2</v>
      </c>
      <c r="G447" s="338">
        <f t="shared" si="166"/>
        <v>1</v>
      </c>
      <c r="H447" s="339">
        <f t="shared" si="167"/>
        <v>0</v>
      </c>
      <c r="I447" s="337">
        <f t="shared" si="168"/>
        <v>6286.5648088124572</v>
      </c>
      <c r="J447" s="340">
        <f t="shared" si="169"/>
        <v>1.5706372574088918</v>
      </c>
      <c r="K447" s="348">
        <f t="shared" si="185"/>
        <v>7.4260831415069877</v>
      </c>
      <c r="L447" s="349">
        <f t="shared" si="186"/>
        <v>1.4357255023312872</v>
      </c>
      <c r="M447" s="337">
        <f t="shared" si="170"/>
        <v>1.0100254273929197</v>
      </c>
      <c r="N447" s="340">
        <f t="shared" si="171"/>
        <v>0.14101333328204377</v>
      </c>
      <c r="O447" s="341">
        <f t="shared" si="172"/>
        <v>0.99948117989473451</v>
      </c>
      <c r="P447" s="342">
        <f t="shared" si="173"/>
        <v>5.867890961896139E-2</v>
      </c>
      <c r="Q447" s="343">
        <f t="shared" si="174"/>
        <v>2.0376681104865715</v>
      </c>
      <c r="R447" s="344">
        <f t="shared" si="175"/>
        <v>-103.58444992021296</v>
      </c>
      <c r="S447" s="346">
        <f t="shared" si="176"/>
        <v>76.415550079787039</v>
      </c>
      <c r="U447" s="319">
        <f t="shared" si="182"/>
        <v>1000000000</v>
      </c>
      <c r="V447" s="319">
        <f t="shared" si="183"/>
        <v>2239040442.25</v>
      </c>
      <c r="X447" s="345">
        <f t="shared" si="177"/>
        <v>39.067506457481699</v>
      </c>
      <c r="Y447" s="346">
        <f t="shared" si="178"/>
        <v>-15.809343042846983</v>
      </c>
      <c r="AA447" s="345">
        <f t="shared" si="179"/>
        <v>19.802911811099879</v>
      </c>
      <c r="AB447" s="346">
        <f t="shared" si="180"/>
        <v>-87.775106877365985</v>
      </c>
      <c r="AD447">
        <f t="shared" si="184"/>
        <v>0</v>
      </c>
      <c r="AE447">
        <f t="shared" si="187"/>
        <v>0</v>
      </c>
    </row>
    <row r="448" spans="1:31" x14ac:dyDescent="0.2">
      <c r="A448" s="347">
        <v>47590.75</v>
      </c>
      <c r="B448" s="364">
        <f t="shared" si="181"/>
        <v>47.59075</v>
      </c>
      <c r="C448" s="337">
        <f t="shared" si="162"/>
        <v>117.59552936761746</v>
      </c>
      <c r="D448" s="338">
        <f t="shared" si="163"/>
        <v>1.5622924996682024</v>
      </c>
      <c r="E448" s="338">
        <f t="shared" si="164"/>
        <v>1.0040155612417179</v>
      </c>
      <c r="F448" s="339">
        <f t="shared" si="165"/>
        <v>8.9466975459439074E-2</v>
      </c>
      <c r="G448" s="338">
        <f t="shared" si="166"/>
        <v>1</v>
      </c>
      <c r="H448" s="339">
        <f t="shared" si="167"/>
        <v>0</v>
      </c>
      <c r="I448" s="337">
        <f t="shared" si="168"/>
        <v>6322.7349584582917</v>
      </c>
      <c r="J448" s="340">
        <f t="shared" si="169"/>
        <v>1.5706381673890795</v>
      </c>
      <c r="K448" s="348">
        <f t="shared" si="185"/>
        <v>7.4680369817404344</v>
      </c>
      <c r="L448" s="349">
        <f t="shared" si="186"/>
        <v>1.4364889103802581</v>
      </c>
      <c r="M448" s="337">
        <f t="shared" si="170"/>
        <v>1.0101405423850993</v>
      </c>
      <c r="N448" s="340">
        <f t="shared" si="171"/>
        <v>0.14181385861557153</v>
      </c>
      <c r="O448" s="341">
        <f t="shared" si="172"/>
        <v>0.99947522029562164</v>
      </c>
      <c r="P448" s="342">
        <f t="shared" si="173"/>
        <v>5.9017266157159944E-2</v>
      </c>
      <c r="Q448" s="343">
        <f t="shared" si="174"/>
        <v>1.986399034492434</v>
      </c>
      <c r="R448" s="344">
        <f t="shared" si="175"/>
        <v>-103.57964871042617</v>
      </c>
      <c r="S448" s="346">
        <f t="shared" si="176"/>
        <v>76.42035128957383</v>
      </c>
      <c r="U448" s="319">
        <f t="shared" si="182"/>
        <v>1000000000</v>
      </c>
      <c r="V448" s="319">
        <f t="shared" si="183"/>
        <v>2264879485.5625</v>
      </c>
      <c r="X448" s="345">
        <f t="shared" si="177"/>
        <v>39.065618016388861</v>
      </c>
      <c r="Y448" s="346">
        <f t="shared" si="178"/>
        <v>-15.811521844625757</v>
      </c>
      <c r="AA448" s="345">
        <f t="shared" si="179"/>
        <v>19.753531176198578</v>
      </c>
      <c r="AB448" s="346">
        <f t="shared" si="180"/>
        <v>-87.768126865800426</v>
      </c>
      <c r="AD448">
        <f t="shared" si="184"/>
        <v>0</v>
      </c>
      <c r="AE448">
        <f t="shared" si="187"/>
        <v>0</v>
      </c>
    </row>
    <row r="449" spans="1:31" x14ac:dyDescent="0.2">
      <c r="A449" s="347">
        <v>47863</v>
      </c>
      <c r="B449" s="364">
        <f t="shared" si="181"/>
        <v>47.863</v>
      </c>
      <c r="C449" s="337">
        <f t="shared" si="162"/>
        <v>118.26820366493807</v>
      </c>
      <c r="D449" s="338">
        <f t="shared" si="163"/>
        <v>1.5623408680586706</v>
      </c>
      <c r="E449" s="338">
        <f t="shared" si="164"/>
        <v>1.0040615427003594</v>
      </c>
      <c r="F449" s="339">
        <f t="shared" si="165"/>
        <v>8.9976034614834222E-2</v>
      </c>
      <c r="G449" s="338">
        <f t="shared" si="166"/>
        <v>1</v>
      </c>
      <c r="H449" s="339">
        <f t="shared" si="167"/>
        <v>0</v>
      </c>
      <c r="I449" s="337">
        <f t="shared" si="168"/>
        <v>6358.9051081093021</v>
      </c>
      <c r="J449" s="340">
        <f t="shared" si="169"/>
        <v>1.5706390670171329</v>
      </c>
      <c r="K449" s="348">
        <f t="shared" si="185"/>
        <v>7.5099951256559896</v>
      </c>
      <c r="L449" s="349">
        <f t="shared" si="186"/>
        <v>1.4372437885839668</v>
      </c>
      <c r="M449" s="337">
        <f t="shared" si="170"/>
        <v>1.010256304568796</v>
      </c>
      <c r="N449" s="340">
        <f t="shared" si="171"/>
        <v>0.14261420100238878</v>
      </c>
      <c r="O449" s="341">
        <f t="shared" si="172"/>
        <v>0.9994692271438631</v>
      </c>
      <c r="P449" s="342">
        <f t="shared" si="173"/>
        <v>5.935563549009077E-2</v>
      </c>
      <c r="Q449" s="343">
        <f t="shared" si="174"/>
        <v>1.9354263359426489</v>
      </c>
      <c r="R449" s="344">
        <f t="shared" si="175"/>
        <v>-103.57529665932556</v>
      </c>
      <c r="S449" s="346">
        <f t="shared" si="176"/>
        <v>76.424703340674441</v>
      </c>
      <c r="U449" s="319">
        <f t="shared" si="182"/>
        <v>1000000000</v>
      </c>
      <c r="V449" s="319">
        <f t="shared" si="183"/>
        <v>2290866769</v>
      </c>
      <c r="X449" s="345">
        <f t="shared" si="177"/>
        <v>39.063739231940964</v>
      </c>
      <c r="Y449" s="346">
        <f t="shared" si="178"/>
        <v>-15.814178295330507</v>
      </c>
      <c r="AA449" s="345">
        <f t="shared" si="179"/>
        <v>19.704437262096697</v>
      </c>
      <c r="AB449" s="346">
        <f t="shared" si="180"/>
        <v>-87.761118363995053</v>
      </c>
      <c r="AD449">
        <f t="shared" si="184"/>
        <v>0</v>
      </c>
      <c r="AE449">
        <f t="shared" si="187"/>
        <v>0</v>
      </c>
    </row>
    <row r="450" spans="1:31" x14ac:dyDescent="0.2">
      <c r="A450" s="347">
        <v>48141.75</v>
      </c>
      <c r="B450" s="364">
        <f t="shared" si="181"/>
        <v>48.141750000000002</v>
      </c>
      <c r="C450" s="337">
        <f t="shared" si="162"/>
        <v>118.95693842171515</v>
      </c>
      <c r="D450" s="338">
        <f t="shared" si="163"/>
        <v>1.5623898244791974</v>
      </c>
      <c r="E450" s="338">
        <f t="shared" si="164"/>
        <v>1.0041088915327048</v>
      </c>
      <c r="F450" s="339">
        <f t="shared" si="165"/>
        <v>9.0497199171177531E-2</v>
      </c>
      <c r="G450" s="338">
        <f t="shared" si="166"/>
        <v>1</v>
      </c>
      <c r="H450" s="339">
        <f t="shared" si="167"/>
        <v>0</v>
      </c>
      <c r="I450" s="337">
        <f t="shared" si="168"/>
        <v>6395.9388242402647</v>
      </c>
      <c r="J450" s="340">
        <f t="shared" si="169"/>
        <v>1.5706399775815045</v>
      </c>
      <c r="K450" s="348">
        <f t="shared" si="185"/>
        <v>7.5529594092048722</v>
      </c>
      <c r="L450" s="349">
        <f t="shared" si="186"/>
        <v>1.4380079994062331</v>
      </c>
      <c r="M450" s="337">
        <f t="shared" si="170"/>
        <v>1.0103755009092226</v>
      </c>
      <c r="N450" s="340">
        <f t="shared" si="171"/>
        <v>0.14343346109997845</v>
      </c>
      <c r="O450" s="341">
        <f t="shared" si="172"/>
        <v>0.99946305615254638</v>
      </c>
      <c r="P450" s="342">
        <f t="shared" si="173"/>
        <v>5.9702096762560213E-2</v>
      </c>
      <c r="Q450" s="343">
        <f t="shared" si="174"/>
        <v>1.88354002107407</v>
      </c>
      <c r="R450" s="344">
        <f t="shared" si="175"/>
        <v>-103.57129815740095</v>
      </c>
      <c r="S450" s="346">
        <f t="shared" si="176"/>
        <v>76.428701842599054</v>
      </c>
      <c r="U450" s="319">
        <f t="shared" si="182"/>
        <v>1000000000</v>
      </c>
      <c r="V450" s="319">
        <f t="shared" si="183"/>
        <v>2317628093.0625</v>
      </c>
      <c r="X450" s="345">
        <f t="shared" si="177"/>
        <v>39.06182524981984</v>
      </c>
      <c r="Y450" s="346">
        <f t="shared" si="178"/>
        <v>-15.817384557970934</v>
      </c>
      <c r="AA450" s="345">
        <f t="shared" si="179"/>
        <v>19.654464929349238</v>
      </c>
      <c r="AB450" s="346">
        <f t="shared" si="180"/>
        <v>-87.753913599430007</v>
      </c>
      <c r="AD450">
        <f t="shared" si="184"/>
        <v>0</v>
      </c>
      <c r="AE450">
        <f t="shared" si="187"/>
        <v>0</v>
      </c>
    </row>
    <row r="451" spans="1:31" x14ac:dyDescent="0.2">
      <c r="A451" s="347">
        <v>48420.5</v>
      </c>
      <c r="B451" s="364">
        <f t="shared" si="181"/>
        <v>48.420499999999997</v>
      </c>
      <c r="C451" s="337">
        <f t="shared" si="162"/>
        <v>119.64567346031758</v>
      </c>
      <c r="D451" s="338">
        <f t="shared" si="163"/>
        <v>1.5624382172688911</v>
      </c>
      <c r="E451" s="338">
        <f t="shared" si="164"/>
        <v>1.0041565130678081</v>
      </c>
      <c r="F451" s="339">
        <f t="shared" si="165"/>
        <v>9.1018314437202805E-2</v>
      </c>
      <c r="G451" s="338">
        <f t="shared" si="166"/>
        <v>1</v>
      </c>
      <c r="H451" s="339">
        <f t="shared" si="167"/>
        <v>0</v>
      </c>
      <c r="I451" s="337">
        <f t="shared" si="168"/>
        <v>6432.9725403764678</v>
      </c>
      <c r="J451" s="340">
        <f t="shared" si="169"/>
        <v>1.5706408776618945</v>
      </c>
      <c r="K451" s="348">
        <f t="shared" si="185"/>
        <v>7.5959280539179117</v>
      </c>
      <c r="L451" s="349">
        <f t="shared" si="186"/>
        <v>1.4387635646902757</v>
      </c>
      <c r="M451" s="337">
        <f t="shared" si="170"/>
        <v>1.0104953752404064</v>
      </c>
      <c r="N451" s="340">
        <f t="shared" si="171"/>
        <v>0.14425252737074779</v>
      </c>
      <c r="O451" s="341">
        <f t="shared" si="172"/>
        <v>0.99945685001063311</v>
      </c>
      <c r="P451" s="342">
        <f t="shared" si="173"/>
        <v>6.004857160297894E-2</v>
      </c>
      <c r="Q451" s="343">
        <f t="shared" si="174"/>
        <v>1.8319569295870184</v>
      </c>
      <c r="R451" s="344">
        <f t="shared" si="175"/>
        <v>-103.56775461002749</v>
      </c>
      <c r="S451" s="346">
        <f t="shared" si="176"/>
        <v>76.432245389972508</v>
      </c>
      <c r="U451" s="319">
        <f t="shared" si="182"/>
        <v>1000000000</v>
      </c>
      <c r="V451" s="319">
        <f t="shared" si="183"/>
        <v>2344544820.25</v>
      </c>
      <c r="X451" s="345">
        <f t="shared" si="177"/>
        <v>39.059920696580875</v>
      </c>
      <c r="Y451" s="346">
        <f t="shared" si="178"/>
        <v>-15.821074467317075</v>
      </c>
      <c r="AA451" s="345">
        <f t="shared" si="179"/>
        <v>19.604786391101147</v>
      </c>
      <c r="AB451" s="346">
        <f t="shared" si="180"/>
        <v>-87.746680142710431</v>
      </c>
      <c r="AD451">
        <f t="shared" si="184"/>
        <v>0</v>
      </c>
      <c r="AE451">
        <f t="shared" si="187"/>
        <v>0</v>
      </c>
    </row>
    <row r="452" spans="1:31" x14ac:dyDescent="0.2">
      <c r="A452" s="347">
        <v>48699.25</v>
      </c>
      <c r="B452" s="364">
        <f t="shared" si="181"/>
        <v>48.699249999999999</v>
      </c>
      <c r="C452" s="337">
        <f t="shared" si="162"/>
        <v>120.33440877590633</v>
      </c>
      <c r="D452" s="338">
        <f t="shared" si="163"/>
        <v>1.5624860561053648</v>
      </c>
      <c r="E452" s="338">
        <f t="shared" si="164"/>
        <v>1.004204407266873</v>
      </c>
      <c r="F452" s="339">
        <f t="shared" si="165"/>
        <v>9.1539380136913318E-2</v>
      </c>
      <c r="G452" s="338">
        <f t="shared" si="166"/>
        <v>1</v>
      </c>
      <c r="H452" s="339">
        <f t="shared" si="167"/>
        <v>0</v>
      </c>
      <c r="I452" s="337">
        <f t="shared" si="168"/>
        <v>6470.0062565178232</v>
      </c>
      <c r="J452" s="340">
        <f t="shared" si="169"/>
        <v>1.5706417674383313</v>
      </c>
      <c r="K452" s="348">
        <f t="shared" si="185"/>
        <v>7.6389009862007589</v>
      </c>
      <c r="L452" s="349">
        <f t="shared" si="186"/>
        <v>1.4395106294734872</v>
      </c>
      <c r="M452" s="337">
        <f t="shared" si="170"/>
        <v>1.010615927321088</v>
      </c>
      <c r="N452" s="340">
        <f t="shared" si="171"/>
        <v>0.14507139878489231</v>
      </c>
      <c r="O452" s="341">
        <f t="shared" si="172"/>
        <v>0.99945060873002434</v>
      </c>
      <c r="P452" s="342">
        <f t="shared" si="173"/>
        <v>6.0395060089742901E-2</v>
      </c>
      <c r="Q452" s="343">
        <f t="shared" si="174"/>
        <v>1.7806733823197372</v>
      </c>
      <c r="R452" s="344">
        <f t="shared" si="175"/>
        <v>-103.5646582332778</v>
      </c>
      <c r="S452" s="346">
        <f t="shared" si="176"/>
        <v>76.435341766722203</v>
      </c>
      <c r="U452" s="319">
        <f t="shared" si="182"/>
        <v>1000000000</v>
      </c>
      <c r="V452" s="319">
        <f t="shared" si="183"/>
        <v>2371616950.5625</v>
      </c>
      <c r="X452" s="345">
        <f t="shared" si="177"/>
        <v>39.058025235744303</v>
      </c>
      <c r="Y452" s="346">
        <f t="shared" si="178"/>
        <v>-15.825239664649891</v>
      </c>
      <c r="AA452" s="345">
        <f t="shared" si="179"/>
        <v>19.55539830467044</v>
      </c>
      <c r="AB452" s="346">
        <f t="shared" si="180"/>
        <v>-87.739418568627912</v>
      </c>
      <c r="AD452">
        <f t="shared" si="184"/>
        <v>0</v>
      </c>
      <c r="AE452">
        <f t="shared" si="187"/>
        <v>0</v>
      </c>
    </row>
    <row r="453" spans="1:31" x14ac:dyDescent="0.2">
      <c r="A453" s="347">
        <v>48978</v>
      </c>
      <c r="B453" s="364">
        <f t="shared" si="181"/>
        <v>48.978000000000002</v>
      </c>
      <c r="C453" s="337">
        <f t="shared" si="162"/>
        <v>121.02314436375239</v>
      </c>
      <c r="D453" s="338">
        <f t="shared" si="163"/>
        <v>1.5625333504459431</v>
      </c>
      <c r="E453" s="338">
        <f t="shared" si="164"/>
        <v>1.0042525740908883</v>
      </c>
      <c r="F453" s="339">
        <f t="shared" si="165"/>
        <v>9.2060395994472535E-2</v>
      </c>
      <c r="G453" s="338">
        <f t="shared" si="166"/>
        <v>1</v>
      </c>
      <c r="H453" s="339">
        <f t="shared" si="167"/>
        <v>0</v>
      </c>
      <c r="I453" s="337">
        <f t="shared" si="168"/>
        <v>6507.0399726642427</v>
      </c>
      <c r="J453" s="340">
        <f t="shared" si="169"/>
        <v>1.5706426470867441</v>
      </c>
      <c r="K453" s="348">
        <f t="shared" si="185"/>
        <v>7.6818781340985707</v>
      </c>
      <c r="L453" s="349">
        <f t="shared" si="186"/>
        <v>1.4402493355859878</v>
      </c>
      <c r="M453" s="337">
        <f t="shared" si="170"/>
        <v>1.0107371569087584</v>
      </c>
      <c r="N453" s="340">
        <f t="shared" si="171"/>
        <v>0.14589007431414275</v>
      </c>
      <c r="O453" s="341">
        <f t="shared" si="172"/>
        <v>0.99944433232269037</v>
      </c>
      <c r="P453" s="342">
        <f t="shared" si="173"/>
        <v>6.0741562301245104E-2</v>
      </c>
      <c r="Q453" s="343">
        <f t="shared" si="174"/>
        <v>1.7296857668343348</v>
      </c>
      <c r="R453" s="344">
        <f t="shared" si="175"/>
        <v>-103.56200141420966</v>
      </c>
      <c r="S453" s="346">
        <f t="shared" si="176"/>
        <v>76.437998585790339</v>
      </c>
      <c r="U453" s="319">
        <f t="shared" si="182"/>
        <v>1000000000</v>
      </c>
      <c r="V453" s="319">
        <f t="shared" si="183"/>
        <v>2398844484</v>
      </c>
      <c r="X453" s="345">
        <f t="shared" si="177"/>
        <v>39.056138540350993</v>
      </c>
      <c r="Y453" s="346">
        <f t="shared" si="178"/>
        <v>-15.829871974866572</v>
      </c>
      <c r="AA453" s="345">
        <f t="shared" si="179"/>
        <v>19.50629738457835</v>
      </c>
      <c r="AB453" s="346">
        <f t="shared" si="180"/>
        <v>-87.732129439343055</v>
      </c>
      <c r="AD453">
        <f t="shared" si="184"/>
        <v>0</v>
      </c>
      <c r="AE453">
        <f t="shared" si="187"/>
        <v>0</v>
      </c>
    </row>
    <row r="454" spans="1:31" x14ac:dyDescent="0.2">
      <c r="A454" s="347">
        <v>49263.25</v>
      </c>
      <c r="B454" s="364">
        <f t="shared" si="181"/>
        <v>49.263249999999999</v>
      </c>
      <c r="C454" s="337">
        <f t="shared" si="162"/>
        <v>121.72794043067981</v>
      </c>
      <c r="D454" s="338">
        <f t="shared" si="163"/>
        <v>1.5625811935673117</v>
      </c>
      <c r="E454" s="338">
        <f t="shared" si="164"/>
        <v>1.0043021462813866</v>
      </c>
      <c r="F454" s="339">
        <f t="shared" si="165"/>
        <v>9.2593509214058123E-2</v>
      </c>
      <c r="G454" s="338">
        <f t="shared" si="166"/>
        <v>1</v>
      </c>
      <c r="H454" s="339">
        <f t="shared" si="167"/>
        <v>0</v>
      </c>
      <c r="I454" s="337">
        <f t="shared" si="168"/>
        <v>6544.9372552909781</v>
      </c>
      <c r="J454" s="340">
        <f t="shared" si="169"/>
        <v>1.5706435369414748</v>
      </c>
      <c r="K454" s="348">
        <f t="shared" si="185"/>
        <v>7.725861730520883</v>
      </c>
      <c r="L454" s="349">
        <f t="shared" si="186"/>
        <v>1.440996758520807</v>
      </c>
      <c r="M454" s="337">
        <f t="shared" si="170"/>
        <v>1.0108619145091295</v>
      </c>
      <c r="N454" s="340">
        <f t="shared" si="171"/>
        <v>0.14672763617420634</v>
      </c>
      <c r="O454" s="341">
        <f t="shared" si="172"/>
        <v>0.99943787320730693</v>
      </c>
      <c r="P454" s="342">
        <f t="shared" si="173"/>
        <v>6.1096158675255564E-2</v>
      </c>
      <c r="Q454" s="343">
        <f t="shared" si="174"/>
        <v>1.6778118651574041</v>
      </c>
      <c r="R454" s="344">
        <f t="shared" si="175"/>
        <v>-103.55972992622357</v>
      </c>
      <c r="S454" s="346">
        <f t="shared" si="176"/>
        <v>76.440270073776432</v>
      </c>
      <c r="U454" s="319">
        <f t="shared" si="182"/>
        <v>1000000000</v>
      </c>
      <c r="V454" s="319">
        <f t="shared" si="183"/>
        <v>2426867800.5625</v>
      </c>
      <c r="X454" s="345">
        <f t="shared" si="177"/>
        <v>39.054216593230279</v>
      </c>
      <c r="Y454" s="346">
        <f t="shared" si="178"/>
        <v>-15.835087539779332</v>
      </c>
      <c r="AA454" s="345">
        <f t="shared" si="179"/>
        <v>19.456345430022132</v>
      </c>
      <c r="AB454" s="346">
        <f t="shared" si="180"/>
        <v>-87.724642386444216</v>
      </c>
      <c r="AD454">
        <f t="shared" si="184"/>
        <v>0</v>
      </c>
      <c r="AE454">
        <f t="shared" si="187"/>
        <v>0</v>
      </c>
    </row>
    <row r="455" spans="1:31" x14ac:dyDescent="0.2">
      <c r="A455" s="347">
        <v>49548.5</v>
      </c>
      <c r="B455" s="364">
        <f t="shared" si="181"/>
        <v>49.548499999999997</v>
      </c>
      <c r="C455" s="337">
        <f t="shared" si="162"/>
        <v>122.43273677303019</v>
      </c>
      <c r="D455" s="338">
        <f t="shared" si="163"/>
        <v>1.5626284858613235</v>
      </c>
      <c r="E455" s="338">
        <f t="shared" si="164"/>
        <v>1.0043520038760778</v>
      </c>
      <c r="F455" s="339">
        <f t="shared" si="165"/>
        <v>9.3126569655994321E-2</v>
      </c>
      <c r="G455" s="338">
        <f t="shared" si="166"/>
        <v>1</v>
      </c>
      <c r="H455" s="339">
        <f t="shared" si="167"/>
        <v>0</v>
      </c>
      <c r="I455" s="337">
        <f t="shared" si="168"/>
        <v>6582.8345379228367</v>
      </c>
      <c r="J455" s="340">
        <f t="shared" si="169"/>
        <v>1.5706444165504441</v>
      </c>
      <c r="K455" s="348">
        <f t="shared" si="185"/>
        <v>7.7698495940613821</v>
      </c>
      <c r="L455" s="349">
        <f t="shared" si="186"/>
        <v>1.4417357190139759</v>
      </c>
      <c r="M455" s="337">
        <f t="shared" si="170"/>
        <v>1.0109873810638044</v>
      </c>
      <c r="N455" s="340">
        <f t="shared" si="171"/>
        <v>0.14756499073370255</v>
      </c>
      <c r="O455" s="341">
        <f t="shared" si="172"/>
        <v>0.99943137733348419</v>
      </c>
      <c r="P455" s="342">
        <f t="shared" si="173"/>
        <v>6.1450769587632612E-2</v>
      </c>
      <c r="Q455" s="343">
        <f t="shared" si="174"/>
        <v>1.6262404106031818</v>
      </c>
      <c r="R455" s="344">
        <f t="shared" si="175"/>
        <v>-103.55790313278322</v>
      </c>
      <c r="S455" s="346">
        <f t="shared" si="176"/>
        <v>76.442096867216776</v>
      </c>
      <c r="U455" s="319">
        <f t="shared" si="182"/>
        <v>1000000000</v>
      </c>
      <c r="V455" s="319">
        <f t="shared" si="183"/>
        <v>2455053852.25</v>
      </c>
      <c r="X455" s="345">
        <f t="shared" si="177"/>
        <v>39.052303161544003</v>
      </c>
      <c r="Y455" s="346">
        <f t="shared" si="178"/>
        <v>-15.840775502397086</v>
      </c>
      <c r="AA455" s="345">
        <f t="shared" si="179"/>
        <v>19.406687407154187</v>
      </c>
      <c r="AB455" s="346">
        <f t="shared" si="180"/>
        <v>-87.717127630386159</v>
      </c>
      <c r="AD455">
        <f t="shared" si="184"/>
        <v>0</v>
      </c>
      <c r="AE455">
        <f t="shared" si="187"/>
        <v>0</v>
      </c>
    </row>
    <row r="456" spans="1:31" x14ac:dyDescent="0.2">
      <c r="A456" s="347">
        <v>49833.75</v>
      </c>
      <c r="B456" s="364">
        <f t="shared" si="181"/>
        <v>49.833750000000002</v>
      </c>
      <c r="C456" s="337">
        <f t="shared" si="162"/>
        <v>123.13753338607427</v>
      </c>
      <c r="D456" s="338">
        <f t="shared" si="163"/>
        <v>1.5626752367860006</v>
      </c>
      <c r="E456" s="338">
        <f t="shared" si="164"/>
        <v>1.0044021468324604</v>
      </c>
      <c r="F456" s="339">
        <f t="shared" si="165"/>
        <v>9.3659577025221388E-2</v>
      </c>
      <c r="G456" s="338">
        <f t="shared" si="166"/>
        <v>1</v>
      </c>
      <c r="H456" s="339">
        <f t="shared" si="167"/>
        <v>0</v>
      </c>
      <c r="I456" s="337">
        <f t="shared" si="168"/>
        <v>6620.7318205597303</v>
      </c>
      <c r="J456" s="340">
        <f t="shared" si="169"/>
        <v>1.5706452860895932</v>
      </c>
      <c r="K456" s="348">
        <f t="shared" si="185"/>
        <v>7.8138416526551033</v>
      </c>
      <c r="L456" s="349">
        <f t="shared" si="186"/>
        <v>1.4424663591826266</v>
      </c>
      <c r="M456" s="337">
        <f t="shared" si="170"/>
        <v>1.011113556308866</v>
      </c>
      <c r="N456" s="340">
        <f t="shared" si="171"/>
        <v>0.14840213689577764</v>
      </c>
      <c r="O456" s="341">
        <f t="shared" si="172"/>
        <v>0.99942484471427406</v>
      </c>
      <c r="P456" s="342">
        <f t="shared" si="173"/>
        <v>6.1805395122372479E-2</v>
      </c>
      <c r="Q456" s="343">
        <f t="shared" si="174"/>
        <v>1.5749677387091028</v>
      </c>
      <c r="R456" s="344">
        <f t="shared" si="175"/>
        <v>-103.55651340203551</v>
      </c>
      <c r="S456" s="346">
        <f t="shared" si="176"/>
        <v>76.443486597964494</v>
      </c>
      <c r="U456" s="319">
        <f t="shared" si="182"/>
        <v>1000000000</v>
      </c>
      <c r="V456" s="319">
        <f t="shared" si="183"/>
        <v>2483402639.0625</v>
      </c>
      <c r="X456" s="345">
        <f t="shared" si="177"/>
        <v>39.050397923868942</v>
      </c>
      <c r="Y456" s="346">
        <f t="shared" si="178"/>
        <v>-15.84692766724355</v>
      </c>
      <c r="AA456" s="345">
        <f t="shared" si="179"/>
        <v>19.357319972935166</v>
      </c>
      <c r="AB456" s="346">
        <f t="shared" si="180"/>
        <v>-87.709585734791972</v>
      </c>
      <c r="AD456">
        <f t="shared" si="184"/>
        <v>0</v>
      </c>
      <c r="AE456">
        <f t="shared" si="187"/>
        <v>0</v>
      </c>
    </row>
    <row r="457" spans="1:31" x14ac:dyDescent="0.2">
      <c r="A457" s="347">
        <v>50119</v>
      </c>
      <c r="B457" s="364">
        <f t="shared" si="181"/>
        <v>50.119</v>
      </c>
      <c r="C457" s="337">
        <f t="shared" si="162"/>
        <v>123.84233026519043</v>
      </c>
      <c r="D457" s="338">
        <f t="shared" si="163"/>
        <v>1.5627214555840692</v>
      </c>
      <c r="E457" s="338">
        <f t="shared" si="164"/>
        <v>1.004452575107798</v>
      </c>
      <c r="F457" s="339">
        <f t="shared" si="165"/>
        <v>9.4192531026858928E-2</v>
      </c>
      <c r="G457" s="338">
        <f t="shared" si="166"/>
        <v>1</v>
      </c>
      <c r="H457" s="339">
        <f t="shared" si="167"/>
        <v>0</v>
      </c>
      <c r="I457" s="337">
        <f t="shared" si="168"/>
        <v>6658.6291032015724</v>
      </c>
      <c r="J457" s="340">
        <f t="shared" si="169"/>
        <v>1.5706461457308578</v>
      </c>
      <c r="K457" s="348">
        <f t="shared" si="185"/>
        <v>7.8578378358441059</v>
      </c>
      <c r="L457" s="349">
        <f t="shared" si="186"/>
        <v>1.4431888179970158</v>
      </c>
      <c r="M457" s="337">
        <f t="shared" si="170"/>
        <v>1.0112404399790387</v>
      </c>
      <c r="N457" s="340">
        <f t="shared" si="171"/>
        <v>0.14923907356529215</v>
      </c>
      <c r="O457" s="341">
        <f t="shared" si="172"/>
        <v>0.99941827536280392</v>
      </c>
      <c r="P457" s="342">
        <f t="shared" si="173"/>
        <v>6.2160035363468126E-2</v>
      </c>
      <c r="Q457" s="343">
        <f t="shared" si="174"/>
        <v>1.5239902513424706</v>
      </c>
      <c r="R457" s="344">
        <f t="shared" si="175"/>
        <v>-103.5555532699525</v>
      </c>
      <c r="S457" s="346">
        <f t="shared" si="176"/>
        <v>76.444446730047503</v>
      </c>
      <c r="U457" s="319">
        <f t="shared" si="182"/>
        <v>1000000000</v>
      </c>
      <c r="V457" s="319">
        <f t="shared" si="183"/>
        <v>2511914161</v>
      </c>
      <c r="X457" s="345">
        <f t="shared" si="177"/>
        <v>39.048500567902089</v>
      </c>
      <c r="Y457" s="346">
        <f t="shared" si="178"/>
        <v>-15.853536019013843</v>
      </c>
      <c r="AA457" s="345">
        <f t="shared" si="179"/>
        <v>19.308239841535389</v>
      </c>
      <c r="AB457" s="346">
        <f t="shared" si="180"/>
        <v>-87.702017250938653</v>
      </c>
      <c r="AD457">
        <f t="shared" si="184"/>
        <v>0</v>
      </c>
      <c r="AE457">
        <f t="shared" si="187"/>
        <v>0</v>
      </c>
    </row>
    <row r="458" spans="1:31" x14ac:dyDescent="0.2">
      <c r="A458" s="347">
        <v>50410.75</v>
      </c>
      <c r="B458" s="364">
        <f t="shared" si="181"/>
        <v>50.41075</v>
      </c>
      <c r="C458" s="337">
        <f t="shared" si="162"/>
        <v>124.56318764170332</v>
      </c>
      <c r="D458" s="338">
        <f t="shared" si="163"/>
        <v>1.5627681865324896</v>
      </c>
      <c r="E458" s="338">
        <f t="shared" si="164"/>
        <v>1.0045044475943019</v>
      </c>
      <c r="F458" s="339">
        <f t="shared" si="165"/>
        <v>9.473757395400359E-2</v>
      </c>
      <c r="G458" s="338">
        <f t="shared" si="166"/>
        <v>1</v>
      </c>
      <c r="H458" s="339">
        <f t="shared" si="167"/>
        <v>0</v>
      </c>
      <c r="I458" s="337">
        <f t="shared" si="168"/>
        <v>6697.3899523240716</v>
      </c>
      <c r="J458" s="340">
        <f t="shared" si="169"/>
        <v>1.5706470148971523</v>
      </c>
      <c r="K458" s="348">
        <f t="shared" si="185"/>
        <v>7.9028407561786249</v>
      </c>
      <c r="L458" s="349">
        <f t="shared" si="186"/>
        <v>1.4439194180201931</v>
      </c>
      <c r="M458" s="337">
        <f t="shared" si="170"/>
        <v>1.0113709474965467</v>
      </c>
      <c r="N458" s="340">
        <f t="shared" si="171"/>
        <v>0.15009486368772523</v>
      </c>
      <c r="O458" s="341">
        <f t="shared" si="172"/>
        <v>0.999411518331769</v>
      </c>
      <c r="P458" s="342">
        <f t="shared" si="173"/>
        <v>6.2522772102381829E-2</v>
      </c>
      <c r="Q458" s="343">
        <f t="shared" si="174"/>
        <v>1.4721528067483283</v>
      </c>
      <c r="R458" s="344">
        <f t="shared" si="175"/>
        <v>-103.55500804478882</v>
      </c>
      <c r="S458" s="346">
        <f t="shared" si="176"/>
        <v>76.444991955211179</v>
      </c>
      <c r="U458" s="319">
        <f t="shared" si="182"/>
        <v>1000000000</v>
      </c>
      <c r="V458" s="319">
        <f t="shared" si="183"/>
        <v>2541243715.5625</v>
      </c>
      <c r="X458" s="345">
        <f t="shared" si="177"/>
        <v>39.046567813714724</v>
      </c>
      <c r="Y458" s="346">
        <f t="shared" si="178"/>
        <v>-15.860758682906647</v>
      </c>
      <c r="AA458" s="345">
        <f t="shared" si="179"/>
        <v>19.25833515112862</v>
      </c>
      <c r="AB458" s="346">
        <f t="shared" si="180"/>
        <v>-87.694249361882157</v>
      </c>
      <c r="AD458">
        <f t="shared" si="184"/>
        <v>0</v>
      </c>
      <c r="AE458">
        <f t="shared" si="187"/>
        <v>0</v>
      </c>
    </row>
    <row r="459" spans="1:31" x14ac:dyDescent="0.2">
      <c r="A459" s="347">
        <v>50702.5</v>
      </c>
      <c r="B459" s="364">
        <f t="shared" si="181"/>
        <v>50.702500000000001</v>
      </c>
      <c r="C459" s="337">
        <f t="shared" si="162"/>
        <v>125.28404528710473</v>
      </c>
      <c r="D459" s="338">
        <f t="shared" si="163"/>
        <v>1.562814379721212</v>
      </c>
      <c r="E459" s="338">
        <f t="shared" si="164"/>
        <v>1.0045566184598727</v>
      </c>
      <c r="F459" s="339">
        <f t="shared" si="165"/>
        <v>9.5282560430274568E-2</v>
      </c>
      <c r="G459" s="338">
        <f t="shared" si="166"/>
        <v>1</v>
      </c>
      <c r="H459" s="339">
        <f t="shared" si="167"/>
        <v>0</v>
      </c>
      <c r="I459" s="337">
        <f t="shared" si="168"/>
        <v>6736.1508014515721</v>
      </c>
      <c r="J459" s="340">
        <f t="shared" si="169"/>
        <v>1.5706478740608134</v>
      </c>
      <c r="K459" s="348">
        <f t="shared" si="185"/>
        <v>7.9478478470907454</v>
      </c>
      <c r="L459" s="349">
        <f t="shared" si="186"/>
        <v>1.4446417439383457</v>
      </c>
      <c r="M459" s="337">
        <f t="shared" si="170"/>
        <v>1.0115021955271526</v>
      </c>
      <c r="N459" s="340">
        <f t="shared" si="171"/>
        <v>0.15095043234957406</v>
      </c>
      <c r="O459" s="341">
        <f t="shared" si="172"/>
        <v>0.99940472290338389</v>
      </c>
      <c r="P459" s="342">
        <f t="shared" si="173"/>
        <v>6.2885524403236359E-2</v>
      </c>
      <c r="Q459" s="343">
        <f t="shared" si="174"/>
        <v>1.4206167445458515</v>
      </c>
      <c r="R459" s="344">
        <f t="shared" si="175"/>
        <v>-103.55489694372656</v>
      </c>
      <c r="S459" s="346">
        <f t="shared" si="176"/>
        <v>76.445103056273439</v>
      </c>
      <c r="U459" s="319">
        <f t="shared" si="182"/>
        <v>1000000000</v>
      </c>
      <c r="V459" s="319">
        <f t="shared" si="183"/>
        <v>2570743506.25</v>
      </c>
      <c r="X459" s="345">
        <f t="shared" si="177"/>
        <v>39.044642671606077</v>
      </c>
      <c r="Y459" s="346">
        <f t="shared" si="178"/>
        <v>-15.868442156231655</v>
      </c>
      <c r="AA459" s="345">
        <f t="shared" si="179"/>
        <v>19.208724231034779</v>
      </c>
      <c r="AB459" s="346">
        <f t="shared" si="180"/>
        <v>-87.686454787494881</v>
      </c>
      <c r="AD459">
        <f t="shared" si="184"/>
        <v>0</v>
      </c>
      <c r="AE459">
        <f t="shared" si="187"/>
        <v>0</v>
      </c>
    </row>
    <row r="460" spans="1:31" x14ac:dyDescent="0.2">
      <c r="A460" s="347">
        <v>50994.25</v>
      </c>
      <c r="B460" s="364">
        <f t="shared" si="181"/>
        <v>50.994250000000001</v>
      </c>
      <c r="C460" s="337">
        <f t="shared" si="162"/>
        <v>126.00490319677982</v>
      </c>
      <c r="D460" s="338">
        <f t="shared" si="163"/>
        <v>1.5628600443794005</v>
      </c>
      <c r="E460" s="338">
        <f t="shared" si="164"/>
        <v>1.0046090876580247</v>
      </c>
      <c r="F460" s="339">
        <f t="shared" si="165"/>
        <v>9.5827490140758781E-2</v>
      </c>
      <c r="G460" s="338">
        <f t="shared" si="166"/>
        <v>1</v>
      </c>
      <c r="H460" s="339">
        <f t="shared" si="167"/>
        <v>0</v>
      </c>
      <c r="I460" s="337">
        <f t="shared" si="168"/>
        <v>6774.9116505839875</v>
      </c>
      <c r="J460" s="340">
        <f t="shared" si="169"/>
        <v>1.5706487233935231</v>
      </c>
      <c r="K460" s="348">
        <f t="shared" si="185"/>
        <v>7.9928590381279907</v>
      </c>
      <c r="L460" s="349">
        <f t="shared" si="186"/>
        <v>1.4453559347763014</v>
      </c>
      <c r="M460" s="337">
        <f t="shared" si="170"/>
        <v>1.011634183782637</v>
      </c>
      <c r="N460" s="340">
        <f t="shared" si="171"/>
        <v>0.15180577838473075</v>
      </c>
      <c r="O460" s="341">
        <f t="shared" si="172"/>
        <v>0.99939788909193972</v>
      </c>
      <c r="P460" s="342">
        <f t="shared" si="173"/>
        <v>6.3248292355887512E-2</v>
      </c>
      <c r="Q460" s="343">
        <f t="shared" si="174"/>
        <v>1.3693784200346195</v>
      </c>
      <c r="R460" s="344">
        <f t="shared" si="175"/>
        <v>-103.55521249623712</v>
      </c>
      <c r="S460" s="346">
        <f t="shared" si="176"/>
        <v>76.444787503762882</v>
      </c>
      <c r="U460" s="319">
        <f t="shared" si="182"/>
        <v>1000000000</v>
      </c>
      <c r="V460" s="319">
        <f t="shared" si="183"/>
        <v>2600413533.0625</v>
      </c>
      <c r="X460" s="345">
        <f t="shared" si="177"/>
        <v>39.042724835110882</v>
      </c>
      <c r="Y460" s="346">
        <f t="shared" si="178"/>
        <v>-15.876578416476578</v>
      </c>
      <c r="AA460" s="345">
        <f t="shared" si="179"/>
        <v>19.159403743018746</v>
      </c>
      <c r="AB460" s="346">
        <f t="shared" si="180"/>
        <v>-87.678634079760542</v>
      </c>
      <c r="AD460">
        <f t="shared" si="184"/>
        <v>0</v>
      </c>
      <c r="AE460">
        <f t="shared" si="187"/>
        <v>0</v>
      </c>
    </row>
    <row r="461" spans="1:31" x14ac:dyDescent="0.2">
      <c r="A461" s="347">
        <v>51286</v>
      </c>
      <c r="B461" s="364">
        <f t="shared" si="181"/>
        <v>51.286000000000001</v>
      </c>
      <c r="C461" s="337">
        <f t="shared" ref="C461:C524" si="188">SQRT(1+(A461/pole1)^2)</f>
        <v>126.72576136621879</v>
      </c>
      <c r="D461" s="338">
        <f t="shared" ref="D461:D524" si="189">ATAN(A461/pole1)</f>
        <v>1.5629051895262338</v>
      </c>
      <c r="E461" s="338">
        <f t="shared" ref="E461:E524" si="190">SQRT(1+(A461/Zero1)^2)</f>
        <v>1.0046618551420159</v>
      </c>
      <c r="F461" s="339">
        <f t="shared" ref="F461:F524" si="191">ATAN(A461/Zero1)</f>
        <v>9.6372362770743611E-2</v>
      </c>
      <c r="G461" s="338">
        <f t="shared" ref="G461:G524" si="192">IF(VIN_nom&gt;Vout, 1, SQRT(1+(A461/z_RHP)^2))</f>
        <v>1</v>
      </c>
      <c r="H461" s="339">
        <f t="shared" ref="H461:H524" si="193">IF(VIN_nom&gt;Vout, 0, -ATAN(A461/z_RHP))</f>
        <v>0</v>
      </c>
      <c r="I461" s="337">
        <f t="shared" ref="I461:I524" si="194">SQRT(1+(A461/Pole2)^2)</f>
        <v>6813.672499721235</v>
      </c>
      <c r="J461" s="340">
        <f t="shared" ref="J461:J524" si="195">ATAN(A461/Pole2)</f>
        <v>1.5706495630630573</v>
      </c>
      <c r="K461" s="348">
        <f t="shared" si="185"/>
        <v>8.0378742604096463</v>
      </c>
      <c r="L461" s="349">
        <f t="shared" si="186"/>
        <v>1.4460621264781384</v>
      </c>
      <c r="M461" s="337">
        <f t="shared" ref="M461:M524" si="196">SQRT(1+(A461/pole4)^2)</f>
        <v>1.0117669119733061</v>
      </c>
      <c r="N461" s="340">
        <f t="shared" ref="N461:N524" si="197">ATAN(A461/pole4)</f>
        <v>0.15266090062899731</v>
      </c>
      <c r="O461" s="341">
        <f t="shared" ref="O461:O524" si="198">SQRT((1-(V461/pterm2))^2+(A461/pterm1)^2)</f>
        <v>0.99939101691181154</v>
      </c>
      <c r="P461" s="342">
        <f t="shared" ref="P461:P524" si="199">IF((ATAN((A461/pterm1)/(1-A461^2/pterm2))&gt;0),ATAN((A461/pterm1)/(1-A461^2/pterm2)),PI()+ATAN((A461/pterm1)/(1-A461^2/pterm2)))</f>
        <v>6.3611076050187426E-2</v>
      </c>
      <c r="Q461" s="343">
        <f t="shared" ref="Q461:Q524" si="200">20*LOG10(((E461*K461*G461)/(C461*I461*O461*M461))*Adc)</f>
        <v>1.3184342543307446</v>
      </c>
      <c r="R461" s="344">
        <f t="shared" ref="R461:R524" si="201">((F461+L461+H461)-(D461+J461+P461+N461))*radconv</f>
        <v>-103.55594739614851</v>
      </c>
      <c r="S461" s="346">
        <f t="shared" ref="S461:S524" si="202">IF(R461&gt;0,R461,R461+180)</f>
        <v>76.444052603851489</v>
      </c>
      <c r="U461" s="319">
        <f t="shared" si="182"/>
        <v>1000000000</v>
      </c>
      <c r="V461" s="319">
        <f t="shared" si="183"/>
        <v>2630253796</v>
      </c>
      <c r="X461" s="345">
        <f t="shared" ref="X461:X524" si="203">20*LOG10((K461/(I461*M461))*AEA)</f>
        <v>39.040814006481938</v>
      </c>
      <c r="Y461" s="346">
        <f t="shared" ref="Y461:Y524" si="204">(L461-(J461+N461))*radconv</f>
        <v>-15.885159617528684</v>
      </c>
      <c r="AA461" s="345">
        <f t="shared" ref="AA461:AA524" si="205">20*LOG10((E461*G461/(C461*O461))*Acs*Am)</f>
        <v>19.110370405943819</v>
      </c>
      <c r="AB461" s="346">
        <f t="shared" ref="AB461:AB524" si="206">(F461+H461-(D461+P461))*radconv</f>
        <v>-87.67078777861984</v>
      </c>
      <c r="AD461">
        <f t="shared" si="184"/>
        <v>0</v>
      </c>
      <c r="AE461">
        <f t="shared" si="187"/>
        <v>0</v>
      </c>
    </row>
    <row r="462" spans="1:31" x14ac:dyDescent="0.2">
      <c r="A462" s="347">
        <v>51584.75</v>
      </c>
      <c r="B462" s="364">
        <f t="shared" ref="B462:B525" si="207">A462/1000</f>
        <v>51.58475</v>
      </c>
      <c r="C462" s="337">
        <f t="shared" si="188"/>
        <v>127.46391545469257</v>
      </c>
      <c r="D462" s="338">
        <f t="shared" si="189"/>
        <v>1.5629508886958898</v>
      </c>
      <c r="E462" s="338">
        <f t="shared" si="190"/>
        <v>1.0047161977417174</v>
      </c>
      <c r="F462" s="339">
        <f t="shared" si="191"/>
        <v>9.6930249128879417E-2</v>
      </c>
      <c r="G462" s="338">
        <f t="shared" si="192"/>
        <v>1</v>
      </c>
      <c r="H462" s="339">
        <f t="shared" si="193"/>
        <v>0</v>
      </c>
      <c r="I462" s="337">
        <f t="shared" si="194"/>
        <v>6853.3633435299353</v>
      </c>
      <c r="J462" s="340">
        <f t="shared" si="195"/>
        <v>1.5706504130364363</v>
      </c>
      <c r="K462" s="348">
        <f t="shared" si="185"/>
        <v>8.0839736465819083</v>
      </c>
      <c r="L462" s="349">
        <f t="shared" si="186"/>
        <v>1.4467771114687904</v>
      </c>
      <c r="M462" s="337">
        <f t="shared" si="196"/>
        <v>1.0119035912047465</v>
      </c>
      <c r="N462" s="340">
        <f t="shared" si="197"/>
        <v>0.15353630682156458</v>
      </c>
      <c r="O462" s="341">
        <f t="shared" si="198"/>
        <v>0.99938394010096643</v>
      </c>
      <c r="P462" s="342">
        <f t="shared" si="199"/>
        <v>6.3982580472771194E-2</v>
      </c>
      <c r="Q462" s="343">
        <f t="shared" si="200"/>
        <v>1.2665689371617925</v>
      </c>
      <c r="R462" s="344">
        <f t="shared" si="201"/>
        <v>-103.55712702511526</v>
      </c>
      <c r="S462" s="346">
        <f t="shared" si="202"/>
        <v>76.442872974884736</v>
      </c>
      <c r="U462" s="319">
        <f t="shared" ref="U462:U525" si="208">IF(Q462&lt;0,A462,1000000000)</f>
        <v>1000000000</v>
      </c>
      <c r="V462" s="319">
        <f t="shared" ref="V462:V525" si="209">A462^2</f>
        <v>2660986432.5625</v>
      </c>
      <c r="X462" s="345">
        <f t="shared" si="203"/>
        <v>39.038864290999179</v>
      </c>
      <c r="Y462" s="346">
        <f t="shared" si="204"/>
        <v>-15.894399775240707</v>
      </c>
      <c r="AA462" s="345">
        <f t="shared" si="205"/>
        <v>19.060454804257621</v>
      </c>
      <c r="AB462" s="346">
        <f t="shared" si="206"/>
        <v>-87.662727249874564</v>
      </c>
      <c r="AD462">
        <f t="shared" ref="AD462:AD525" si="210">SUM((Q463&lt;0)*(Q462&gt;0))*A462</f>
        <v>0</v>
      </c>
      <c r="AE462">
        <f t="shared" si="187"/>
        <v>0</v>
      </c>
    </row>
    <row r="463" spans="1:31" x14ac:dyDescent="0.2">
      <c r="A463" s="347">
        <v>51883.5</v>
      </c>
      <c r="B463" s="364">
        <f t="shared" si="207"/>
        <v>51.883499999999998</v>
      </c>
      <c r="C463" s="337">
        <f t="shared" si="188"/>
        <v>128.2020698062984</v>
      </c>
      <c r="D463" s="338">
        <f t="shared" si="189"/>
        <v>1.5629960616176466</v>
      </c>
      <c r="E463" s="338">
        <f t="shared" si="190"/>
        <v>1.0047708530125821</v>
      </c>
      <c r="F463" s="339">
        <f t="shared" si="191"/>
        <v>9.7488074967314473E-2</v>
      </c>
      <c r="G463" s="338">
        <f t="shared" si="192"/>
        <v>1</v>
      </c>
      <c r="H463" s="339">
        <f t="shared" si="193"/>
        <v>0</v>
      </c>
      <c r="I463" s="337">
        <f t="shared" si="194"/>
        <v>6893.0541873435304</v>
      </c>
      <c r="J463" s="340">
        <f t="shared" si="195"/>
        <v>1.5706512532213646</v>
      </c>
      <c r="K463" s="348">
        <f t="shared" si="185"/>
        <v>8.1300771184438041</v>
      </c>
      <c r="L463" s="349">
        <f t="shared" si="186"/>
        <v>1.4474839878437833</v>
      </c>
      <c r="M463" s="337">
        <f t="shared" si="196"/>
        <v>1.0120410456845366</v>
      </c>
      <c r="N463" s="340">
        <f t="shared" si="197"/>
        <v>0.15441147589093343</v>
      </c>
      <c r="O463" s="341">
        <f t="shared" si="198"/>
        <v>0.99937682308895226</v>
      </c>
      <c r="P463" s="342">
        <f t="shared" si="199"/>
        <v>6.4354101592128621E-2</v>
      </c>
      <c r="Q463" s="343">
        <f t="shared" si="200"/>
        <v>1.2150046730175466</v>
      </c>
      <c r="R463" s="344">
        <f t="shared" si="201"/>
        <v>-103.55873136893658</v>
      </c>
      <c r="S463" s="346">
        <f t="shared" si="202"/>
        <v>76.441268631063423</v>
      </c>
      <c r="U463" s="319">
        <f t="shared" si="208"/>
        <v>1000000000</v>
      </c>
      <c r="V463" s="319">
        <f t="shared" si="209"/>
        <v>2691897572.25</v>
      </c>
      <c r="X463" s="345">
        <f t="shared" si="203"/>
        <v>39.036921318571878</v>
      </c>
      <c r="Y463" s="346">
        <f t="shared" si="204"/>
        <v>-15.904090375412814</v>
      </c>
      <c r="AA463" s="345">
        <f t="shared" si="205"/>
        <v>19.010833512540675</v>
      </c>
      <c r="AB463" s="346">
        <f t="shared" si="206"/>
        <v>-87.654640993523756</v>
      </c>
      <c r="AD463">
        <f t="shared" si="210"/>
        <v>0</v>
      </c>
      <c r="AE463">
        <f t="shared" si="187"/>
        <v>0</v>
      </c>
    </row>
    <row r="464" spans="1:31" x14ac:dyDescent="0.2">
      <c r="A464" s="347">
        <v>52182.25</v>
      </c>
      <c r="B464" s="364">
        <f t="shared" si="207"/>
        <v>52.182250000000003</v>
      </c>
      <c r="C464" s="337">
        <f t="shared" si="188"/>
        <v>128.94022441651714</v>
      </c>
      <c r="D464" s="338">
        <f t="shared" si="189"/>
        <v>1.5630407173292806</v>
      </c>
      <c r="E464" s="338">
        <f t="shared" si="190"/>
        <v>1.0048258209035883</v>
      </c>
      <c r="F464" s="339">
        <f t="shared" si="191"/>
        <v>9.8045839948795746E-2</v>
      </c>
      <c r="G464" s="338">
        <f t="shared" si="192"/>
        <v>1</v>
      </c>
      <c r="H464" s="339">
        <f t="shared" si="193"/>
        <v>0</v>
      </c>
      <c r="I464" s="337">
        <f t="shared" si="194"/>
        <v>6932.745031161935</v>
      </c>
      <c r="J464" s="340">
        <f t="shared" si="195"/>
        <v>1.5706520837859625</v>
      </c>
      <c r="K464" s="348">
        <f t="shared" si="185"/>
        <v>8.1761846068807689</v>
      </c>
      <c r="L464" s="349">
        <f t="shared" si="186"/>
        <v>1.4481828920700102</v>
      </c>
      <c r="M464" s="337">
        <f t="shared" si="196"/>
        <v>1.012179275096839</v>
      </c>
      <c r="N464" s="340">
        <f t="shared" si="197"/>
        <v>0.15528640659336199</v>
      </c>
      <c r="O464" s="341">
        <f t="shared" si="198"/>
        <v>0.99936966589147358</v>
      </c>
      <c r="P464" s="342">
        <f t="shared" si="199"/>
        <v>6.4725639504723514E-2</v>
      </c>
      <c r="Q464" s="343">
        <f t="shared" si="200"/>
        <v>1.1637378235061793</v>
      </c>
      <c r="R464" s="344">
        <f t="shared" si="201"/>
        <v>-103.56075308968337</v>
      </c>
      <c r="S464" s="346">
        <f t="shared" si="202"/>
        <v>76.439246910316626</v>
      </c>
      <c r="U464" s="319">
        <f t="shared" si="208"/>
        <v>1000000000</v>
      </c>
      <c r="V464" s="319">
        <f t="shared" si="209"/>
        <v>2722987215.0625</v>
      </c>
      <c r="X464" s="345">
        <f t="shared" si="203"/>
        <v>39.034984796068301</v>
      </c>
      <c r="Y464" s="346">
        <f t="shared" si="204"/>
        <v>-15.914223537439383</v>
      </c>
      <c r="AA464" s="345">
        <f t="shared" si="205"/>
        <v>18.961503185532887</v>
      </c>
      <c r="AB464" s="346">
        <f t="shared" si="206"/>
        <v>-87.646529552243976</v>
      </c>
      <c r="AD464">
        <f t="shared" si="210"/>
        <v>0</v>
      </c>
      <c r="AE464">
        <f t="shared" si="187"/>
        <v>0</v>
      </c>
    </row>
    <row r="465" spans="1:31" x14ac:dyDescent="0.2">
      <c r="A465" s="347">
        <v>52481</v>
      </c>
      <c r="B465" s="364">
        <f t="shared" si="207"/>
        <v>52.481000000000002</v>
      </c>
      <c r="C465" s="337">
        <f t="shared" si="188"/>
        <v>129.67837928093263</v>
      </c>
      <c r="D465" s="338">
        <f t="shared" si="189"/>
        <v>1.5630848646627984</v>
      </c>
      <c r="E465" s="338">
        <f t="shared" si="190"/>
        <v>1.0048811013634347</v>
      </c>
      <c r="F465" s="339">
        <f t="shared" si="191"/>
        <v>9.8603543736295304E-2</v>
      </c>
      <c r="G465" s="338">
        <f t="shared" si="192"/>
        <v>1</v>
      </c>
      <c r="H465" s="339">
        <f t="shared" si="193"/>
        <v>0</v>
      </c>
      <c r="I465" s="337">
        <f t="shared" si="194"/>
        <v>6972.435874985068</v>
      </c>
      <c r="J465" s="340">
        <f t="shared" si="195"/>
        <v>1.5706529048945224</v>
      </c>
      <c r="K465" s="348">
        <f t="shared" si="185"/>
        <v>8.2222960443225563</v>
      </c>
      <c r="L465" s="349">
        <f t="shared" si="186"/>
        <v>1.4488739575846405</v>
      </c>
      <c r="M465" s="337">
        <f t="shared" si="196"/>
        <v>1.0123182791242091</v>
      </c>
      <c r="N465" s="340">
        <f t="shared" si="197"/>
        <v>0.15616109768724548</v>
      </c>
      <c r="O465" s="341">
        <f t="shared" si="198"/>
        <v>0.99936246852432642</v>
      </c>
      <c r="P465" s="342">
        <f t="shared" si="199"/>
        <v>6.5097194307015521E-2</v>
      </c>
      <c r="Q465" s="343">
        <f t="shared" si="200"/>
        <v>1.1127648158643335</v>
      </c>
      <c r="R465" s="344">
        <f t="shared" si="201"/>
        <v>-103.5631850111173</v>
      </c>
      <c r="S465" s="346">
        <f t="shared" si="202"/>
        <v>76.436814988882702</v>
      </c>
      <c r="U465" s="319">
        <f t="shared" si="208"/>
        <v>1000000000</v>
      </c>
      <c r="V465" s="319">
        <f t="shared" si="209"/>
        <v>2754255361</v>
      </c>
      <c r="X465" s="345">
        <f t="shared" si="203"/>
        <v>39.033054438729039</v>
      </c>
      <c r="Y465" s="346">
        <f t="shared" si="204"/>
        <v>-15.924791554208307</v>
      </c>
      <c r="AA465" s="345">
        <f t="shared" si="205"/>
        <v>18.912460535230299</v>
      </c>
      <c r="AB465" s="346">
        <f t="shared" si="206"/>
        <v>-87.638393456908972</v>
      </c>
      <c r="AD465">
        <f t="shared" si="210"/>
        <v>0</v>
      </c>
      <c r="AE465">
        <f t="shared" si="187"/>
        <v>0</v>
      </c>
    </row>
    <row r="466" spans="1:31" x14ac:dyDescent="0.2">
      <c r="A466" s="347">
        <v>52786.5</v>
      </c>
      <c r="B466" s="364">
        <f t="shared" si="207"/>
        <v>52.786499999999997</v>
      </c>
      <c r="C466" s="337">
        <f t="shared" si="188"/>
        <v>130.43321237974411</v>
      </c>
      <c r="D466" s="338">
        <f t="shared" si="189"/>
        <v>1.5631294927229129</v>
      </c>
      <c r="E466" s="338">
        <f t="shared" si="190"/>
        <v>1.0049379540260677</v>
      </c>
      <c r="F466" s="339">
        <f t="shared" si="191"/>
        <v>9.9173784728044417E-2</v>
      </c>
      <c r="G466" s="338">
        <f t="shared" si="192"/>
        <v>1</v>
      </c>
      <c r="H466" s="339">
        <f t="shared" si="193"/>
        <v>0</v>
      </c>
      <c r="I466" s="337">
        <f t="shared" si="194"/>
        <v>7013.0234993847425</v>
      </c>
      <c r="J466" s="340">
        <f t="shared" si="195"/>
        <v>1.570653734943682</v>
      </c>
      <c r="K466" s="348">
        <f t="shared" si="185"/>
        <v>8.2694533451604411</v>
      </c>
      <c r="L466" s="349">
        <f t="shared" si="186"/>
        <v>1.4495726667017612</v>
      </c>
      <c r="M466" s="337">
        <f t="shared" si="196"/>
        <v>1.0124612245613409</v>
      </c>
      <c r="N466" s="340">
        <f t="shared" si="197"/>
        <v>0.15705530259438613</v>
      </c>
      <c r="O466" s="341">
        <f t="shared" si="198"/>
        <v>0.99935506701407573</v>
      </c>
      <c r="P466" s="342">
        <f t="shared" si="199"/>
        <v>6.5477161638288511E-2</v>
      </c>
      <c r="Q466" s="343">
        <f t="shared" si="200"/>
        <v>1.0609403368851553</v>
      </c>
      <c r="R466" s="344">
        <f t="shared" si="201"/>
        <v>-103.5660887749096</v>
      </c>
      <c r="S466" s="346">
        <f t="shared" si="202"/>
        <v>76.433911225090398</v>
      </c>
      <c r="U466" s="319">
        <f t="shared" si="208"/>
        <v>1000000000</v>
      </c>
      <c r="V466" s="319">
        <f t="shared" si="209"/>
        <v>2786414582.25</v>
      </c>
      <c r="X466" s="345">
        <f t="shared" si="203"/>
        <v>39.031086554083785</v>
      </c>
      <c r="Y466" s="346">
        <f t="shared" si="204"/>
        <v>-15.936040196215522</v>
      </c>
      <c r="AA466" s="345">
        <f t="shared" si="205"/>
        <v>18.862603940896371</v>
      </c>
      <c r="AB466" s="346">
        <f t="shared" si="206"/>
        <v>-87.630048578694058</v>
      </c>
      <c r="AD466">
        <f t="shared" si="210"/>
        <v>0</v>
      </c>
      <c r="AE466">
        <f t="shared" si="187"/>
        <v>0</v>
      </c>
    </row>
    <row r="467" spans="1:31" x14ac:dyDescent="0.2">
      <c r="A467" s="347">
        <v>53092</v>
      </c>
      <c r="B467" s="364">
        <f t="shared" si="207"/>
        <v>53.091999999999999</v>
      </c>
      <c r="C467" s="337">
        <f t="shared" si="188"/>
        <v>131.18804573534527</v>
      </c>
      <c r="D467" s="338">
        <f t="shared" si="189"/>
        <v>1.5631736072188158</v>
      </c>
      <c r="E467" s="338">
        <f t="shared" si="190"/>
        <v>1.0049951334321534</v>
      </c>
      <c r="F467" s="339">
        <f t="shared" si="191"/>
        <v>9.9743961017224519E-2</v>
      </c>
      <c r="G467" s="338">
        <f t="shared" si="192"/>
        <v>1</v>
      </c>
      <c r="H467" s="339">
        <f t="shared" si="193"/>
        <v>0</v>
      </c>
      <c r="I467" s="337">
        <f t="shared" si="194"/>
        <v>7053.6111237891937</v>
      </c>
      <c r="J467" s="340">
        <f t="shared" si="195"/>
        <v>1.5706545554403664</v>
      </c>
      <c r="K467" s="348">
        <f t="shared" si="185"/>
        <v>8.3166146373154888</v>
      </c>
      <c r="L467" s="349">
        <f t="shared" si="186"/>
        <v>1.4502634517687418</v>
      </c>
      <c r="M467" s="337">
        <f t="shared" si="196"/>
        <v>1.0126049793359699</v>
      </c>
      <c r="N467" s="340">
        <f t="shared" si="197"/>
        <v>0.15794925432401949</v>
      </c>
      <c r="O467" s="341">
        <f t="shared" si="198"/>
        <v>0.9993476235321529</v>
      </c>
      <c r="P467" s="342">
        <f t="shared" si="199"/>
        <v>6.5857146835098204E-2</v>
      </c>
      <c r="Q467" s="343">
        <f t="shared" si="200"/>
        <v>1.0094157748191819</v>
      </c>
      <c r="R467" s="344">
        <f t="shared" si="201"/>
        <v>-103.56940680575504</v>
      </c>
      <c r="S467" s="346">
        <f t="shared" si="202"/>
        <v>76.430593194244963</v>
      </c>
      <c r="U467" s="319">
        <f t="shared" si="208"/>
        <v>1000000000</v>
      </c>
      <c r="V467" s="319">
        <f t="shared" si="209"/>
        <v>2818760464</v>
      </c>
      <c r="X467" s="345">
        <f t="shared" si="203"/>
        <v>39.02912453968279</v>
      </c>
      <c r="Y467" s="346">
        <f t="shared" si="204"/>
        <v>-15.947727799533757</v>
      </c>
      <c r="AA467" s="345">
        <f t="shared" si="205"/>
        <v>18.813041393231394</v>
      </c>
      <c r="AB467" s="346">
        <f t="shared" si="206"/>
        <v>-87.621679006221271</v>
      </c>
      <c r="AD467">
        <f t="shared" si="210"/>
        <v>0</v>
      </c>
      <c r="AE467">
        <f t="shared" si="187"/>
        <v>0</v>
      </c>
    </row>
    <row r="468" spans="1:31" x14ac:dyDescent="0.2">
      <c r="A468" s="347">
        <v>53397.5</v>
      </c>
      <c r="B468" s="364">
        <f t="shared" si="207"/>
        <v>53.397500000000001</v>
      </c>
      <c r="C468" s="337">
        <f t="shared" si="188"/>
        <v>131.94287934332885</v>
      </c>
      <c r="D468" s="338">
        <f t="shared" si="189"/>
        <v>1.5632172169645004</v>
      </c>
      <c r="E468" s="338">
        <f t="shared" si="190"/>
        <v>1.0050526395259249</v>
      </c>
      <c r="F468" s="339">
        <f t="shared" si="191"/>
        <v>0.10031407224418074</v>
      </c>
      <c r="G468" s="338">
        <f t="shared" si="192"/>
        <v>1</v>
      </c>
      <c r="H468" s="339">
        <f t="shared" si="193"/>
        <v>0</v>
      </c>
      <c r="I468" s="337">
        <f t="shared" si="194"/>
        <v>7094.1987481983397</v>
      </c>
      <c r="J468" s="340">
        <f t="shared" si="195"/>
        <v>1.5706553665485312</v>
      </c>
      <c r="K468" s="348">
        <f t="shared" si="185"/>
        <v>8.3637798532695395</v>
      </c>
      <c r="L468" s="349">
        <f t="shared" si="186"/>
        <v>1.4509464461771264</v>
      </c>
      <c r="M468" s="337">
        <f t="shared" si="196"/>
        <v>1.0127495431034517</v>
      </c>
      <c r="N468" s="340">
        <f t="shared" si="197"/>
        <v>0.15884295155546049</v>
      </c>
      <c r="O468" s="341">
        <f t="shared" si="198"/>
        <v>0.99934013809574496</v>
      </c>
      <c r="P468" s="342">
        <f t="shared" si="199"/>
        <v>6.6237150000577699E-2</v>
      </c>
      <c r="Q468" s="343">
        <f t="shared" si="200"/>
        <v>0.95818751200886587</v>
      </c>
      <c r="R468" s="344">
        <f t="shared" si="201"/>
        <v>-103.57313192612585</v>
      </c>
      <c r="S468" s="346">
        <f t="shared" si="202"/>
        <v>76.426868073874147</v>
      </c>
      <c r="U468" s="319">
        <f t="shared" si="208"/>
        <v>1000000000</v>
      </c>
      <c r="V468" s="319">
        <f t="shared" si="209"/>
        <v>2851293006.25</v>
      </c>
      <c r="X468" s="345">
        <f t="shared" si="203"/>
        <v>39.027168116414465</v>
      </c>
      <c r="Y468" s="346">
        <f t="shared" si="204"/>
        <v>-15.959846655114806</v>
      </c>
      <c r="AA468" s="345">
        <f t="shared" si="205"/>
        <v>18.763769553689404</v>
      </c>
      <c r="AB468" s="346">
        <f t="shared" si="206"/>
        <v>-87.613285271011023</v>
      </c>
      <c r="AD468">
        <f t="shared" si="210"/>
        <v>0</v>
      </c>
      <c r="AE468">
        <f t="shared" si="187"/>
        <v>0</v>
      </c>
    </row>
    <row r="469" spans="1:31" x14ac:dyDescent="0.2">
      <c r="A469" s="347">
        <v>53703</v>
      </c>
      <c r="B469" s="364">
        <f t="shared" si="207"/>
        <v>53.703000000000003</v>
      </c>
      <c r="C469" s="337">
        <f t="shared" si="188"/>
        <v>132.69771319938795</v>
      </c>
      <c r="D469" s="338">
        <f t="shared" si="189"/>
        <v>1.5632603305734196</v>
      </c>
      <c r="E469" s="338">
        <f t="shared" si="190"/>
        <v>1.0051104722513089</v>
      </c>
      <c r="F469" s="339">
        <f t="shared" si="191"/>
        <v>0.10088411804950956</v>
      </c>
      <c r="G469" s="338">
        <f t="shared" si="192"/>
        <v>1</v>
      </c>
      <c r="H469" s="339">
        <f t="shared" si="193"/>
        <v>0</v>
      </c>
      <c r="I469" s="337">
        <f t="shared" si="194"/>
        <v>7134.7863726120986</v>
      </c>
      <c r="J469" s="340">
        <f t="shared" si="195"/>
        <v>1.5706561684284019</v>
      </c>
      <c r="K469" s="348">
        <f t="shared" si="185"/>
        <v>8.4109489270133384</v>
      </c>
      <c r="L469" s="349">
        <f t="shared" si="186"/>
        <v>1.4516217803556375</v>
      </c>
      <c r="M469" s="337">
        <f t="shared" si="196"/>
        <v>1.0128949155173996</v>
      </c>
      <c r="N469" s="340">
        <f t="shared" si="197"/>
        <v>0.15973639297040204</v>
      </c>
      <c r="O469" s="341">
        <f t="shared" si="198"/>
        <v>0.99933261072213897</v>
      </c>
      <c r="P469" s="342">
        <f t="shared" si="199"/>
        <v>6.6617171237855335E-2</v>
      </c>
      <c r="Q469" s="343">
        <f t="shared" si="200"/>
        <v>0.90725199589361938</v>
      </c>
      <c r="R469" s="344">
        <f t="shared" si="201"/>
        <v>-103.57725711666906</v>
      </c>
      <c r="S469" s="346">
        <f t="shared" si="202"/>
        <v>76.42274288333094</v>
      </c>
      <c r="U469" s="319">
        <f t="shared" si="208"/>
        <v>1000000000</v>
      </c>
      <c r="V469" s="319">
        <f t="shared" si="209"/>
        <v>2884012209</v>
      </c>
      <c r="X469" s="345">
        <f t="shared" si="203"/>
        <v>39.025217013163164</v>
      </c>
      <c r="Y469" s="346">
        <f t="shared" si="204"/>
        <v>-15.972389223590135</v>
      </c>
      <c r="AA469" s="345">
        <f t="shared" si="205"/>
        <v>18.714785140825466</v>
      </c>
      <c r="AB469" s="346">
        <f t="shared" si="206"/>
        <v>-87.604867893078932</v>
      </c>
      <c r="AD469">
        <f t="shared" si="210"/>
        <v>0</v>
      </c>
      <c r="AE469">
        <f t="shared" si="187"/>
        <v>0</v>
      </c>
    </row>
    <row r="470" spans="1:31" x14ac:dyDescent="0.2">
      <c r="A470" s="347">
        <v>54015.75</v>
      </c>
      <c r="B470" s="364">
        <f t="shared" si="207"/>
        <v>54.015749999999997</v>
      </c>
      <c r="C470" s="337">
        <f t="shared" si="188"/>
        <v>133.47046071377818</v>
      </c>
      <c r="D470" s="338">
        <f t="shared" si="189"/>
        <v>1.5633039621875173</v>
      </c>
      <c r="E470" s="338">
        <f t="shared" si="190"/>
        <v>1.0051700157310341</v>
      </c>
      <c r="F470" s="339">
        <f t="shared" si="191"/>
        <v>0.10146762380291471</v>
      </c>
      <c r="G470" s="338">
        <f t="shared" si="192"/>
        <v>1</v>
      </c>
      <c r="H470" s="339">
        <f t="shared" si="193"/>
        <v>0</v>
      </c>
      <c r="I470" s="337">
        <f t="shared" si="194"/>
        <v>7176.3372057932393</v>
      </c>
      <c r="J470" s="340">
        <f t="shared" si="195"/>
        <v>1.5706569799422392</v>
      </c>
      <c r="K470" s="348">
        <f t="shared" si="185"/>
        <v>8.4592413265863442</v>
      </c>
      <c r="L470" s="349">
        <f t="shared" si="186"/>
        <v>1.4523053393665548</v>
      </c>
      <c r="M470" s="337">
        <f t="shared" si="196"/>
        <v>1.0130445751459125</v>
      </c>
      <c r="N470" s="340">
        <f t="shared" si="197"/>
        <v>0.16065077079967893</v>
      </c>
      <c r="O470" s="341">
        <f t="shared" si="198"/>
        <v>0.99932486128829945</v>
      </c>
      <c r="P470" s="342">
        <f t="shared" si="199"/>
        <v>6.7006229810265008E-2</v>
      </c>
      <c r="Q470" s="343">
        <f t="shared" si="200"/>
        <v>0.85540730685298993</v>
      </c>
      <c r="R470" s="344">
        <f t="shared" si="201"/>
        <v>-103.58188746164832</v>
      </c>
      <c r="S470" s="346">
        <f t="shared" si="202"/>
        <v>76.418112538351679</v>
      </c>
      <c r="U470" s="319">
        <f t="shared" si="208"/>
        <v>1000000000</v>
      </c>
      <c r="V470" s="319">
        <f t="shared" si="209"/>
        <v>2917701248.0625</v>
      </c>
      <c r="X470" s="345">
        <f t="shared" si="203"/>
        <v>39.023224843081323</v>
      </c>
      <c r="Y470" s="346">
        <f t="shared" si="204"/>
        <v>-15.985660664047387</v>
      </c>
      <c r="AA470" s="345">
        <f t="shared" si="205"/>
        <v>18.664932621866676</v>
      </c>
      <c r="AB470" s="346">
        <f t="shared" si="206"/>
        <v>-87.596226797600934</v>
      </c>
      <c r="AD470">
        <f t="shared" si="210"/>
        <v>0</v>
      </c>
      <c r="AE470">
        <f t="shared" si="187"/>
        <v>0</v>
      </c>
    </row>
    <row r="471" spans="1:31" x14ac:dyDescent="0.2">
      <c r="A471" s="347">
        <v>54328.5</v>
      </c>
      <c r="B471" s="364">
        <f t="shared" si="207"/>
        <v>54.328499999999998</v>
      </c>
      <c r="C471" s="337">
        <f t="shared" si="188"/>
        <v>134.24320847933325</v>
      </c>
      <c r="D471" s="338">
        <f t="shared" si="189"/>
        <v>1.5633470914860459</v>
      </c>
      <c r="E471" s="338">
        <f t="shared" si="190"/>
        <v>1.0052299014093931</v>
      </c>
      <c r="F471" s="339">
        <f t="shared" si="191"/>
        <v>0.10205106023127426</v>
      </c>
      <c r="G471" s="338">
        <f t="shared" si="192"/>
        <v>1</v>
      </c>
      <c r="H471" s="339">
        <f t="shared" si="193"/>
        <v>0</v>
      </c>
      <c r="I471" s="337">
        <f t="shared" si="194"/>
        <v>7217.888038979052</v>
      </c>
      <c r="J471" s="340">
        <f t="shared" si="195"/>
        <v>1.5706577821128791</v>
      </c>
      <c r="K471" s="348">
        <f t="shared" ref="K471:K534" si="211">SQRT(1+(A471/Zero2)^2)</f>
        <v>8.5075376338901698</v>
      </c>
      <c r="L471" s="349">
        <f t="shared" ref="L471:L534" si="212">ATAN(A471/Zero2)</f>
        <v>1.4529811377193487</v>
      </c>
      <c r="M471" s="337">
        <f t="shared" si="196"/>
        <v>1.0131950815170048</v>
      </c>
      <c r="N471" s="340">
        <f t="shared" si="197"/>
        <v>0.16156487773817024</v>
      </c>
      <c r="O471" s="341">
        <f t="shared" si="198"/>
        <v>0.99931706794015573</v>
      </c>
      <c r="P471" s="342">
        <f t="shared" si="199"/>
        <v>6.7395307541107868E-2</v>
      </c>
      <c r="Q471" s="343">
        <f t="shared" si="200"/>
        <v>0.80386209168517997</v>
      </c>
      <c r="R471" s="344">
        <f t="shared" si="201"/>
        <v>-103.58692269252808</v>
      </c>
      <c r="S471" s="346">
        <f t="shared" si="202"/>
        <v>76.413077307471923</v>
      </c>
      <c r="U471" s="319">
        <f t="shared" si="208"/>
        <v>1000000000</v>
      </c>
      <c r="V471" s="319">
        <f t="shared" si="209"/>
        <v>2951585912.25</v>
      </c>
      <c r="X471" s="345">
        <f t="shared" si="203"/>
        <v>39.02123769804178</v>
      </c>
      <c r="Y471" s="346">
        <f t="shared" si="204"/>
        <v>-15.99936070123735</v>
      </c>
      <c r="AA471" s="345">
        <f t="shared" si="205"/>
        <v>18.615374551738405</v>
      </c>
      <c r="AB471" s="346">
        <f t="shared" si="206"/>
        <v>-87.587561991290713</v>
      </c>
      <c r="AD471">
        <f t="shared" si="210"/>
        <v>0</v>
      </c>
      <c r="AE471">
        <f t="shared" si="187"/>
        <v>0</v>
      </c>
    </row>
    <row r="472" spans="1:31" x14ac:dyDescent="0.2">
      <c r="A472" s="347">
        <v>54641.25</v>
      </c>
      <c r="B472" s="364">
        <f t="shared" si="207"/>
        <v>54.641249999999999</v>
      </c>
      <c r="C472" s="337">
        <f t="shared" si="188"/>
        <v>135.01595649174061</v>
      </c>
      <c r="D472" s="338">
        <f t="shared" si="189"/>
        <v>1.5633897270936763</v>
      </c>
      <c r="E472" s="338">
        <f t="shared" si="190"/>
        <v>1.005290129225231</v>
      </c>
      <c r="F472" s="339">
        <f t="shared" si="191"/>
        <v>0.10263442694981179</v>
      </c>
      <c r="G472" s="338">
        <f t="shared" si="192"/>
        <v>1</v>
      </c>
      <c r="H472" s="339">
        <f t="shared" si="193"/>
        <v>0</v>
      </c>
      <c r="I472" s="337">
        <f t="shared" si="194"/>
        <v>7259.4388721694559</v>
      </c>
      <c r="J472" s="340">
        <f t="shared" si="195"/>
        <v>1.5706585751007545</v>
      </c>
      <c r="K472" s="348">
        <f t="shared" si="211"/>
        <v>8.5558377827493093</v>
      </c>
      <c r="L472" s="349">
        <f t="shared" si="212"/>
        <v>1.4536493062248514</v>
      </c>
      <c r="M472" s="337">
        <f t="shared" si="196"/>
        <v>1.0133464342533911</v>
      </c>
      <c r="N472" s="340">
        <f t="shared" si="197"/>
        <v>0.16247871237927924</v>
      </c>
      <c r="O472" s="341">
        <f t="shared" si="198"/>
        <v>0.99930923069658018</v>
      </c>
      <c r="P472" s="342">
        <f t="shared" si="199"/>
        <v>6.778440454101467E-2</v>
      </c>
      <c r="Q472" s="343">
        <f t="shared" si="200"/>
        <v>0.75261274081016594</v>
      </c>
      <c r="R472" s="344">
        <f t="shared" si="201"/>
        <v>-103.59235576554171</v>
      </c>
      <c r="S472" s="346">
        <f t="shared" si="202"/>
        <v>76.407644234458289</v>
      </c>
      <c r="U472" s="319">
        <f t="shared" si="208"/>
        <v>1000000000</v>
      </c>
      <c r="V472" s="319">
        <f t="shared" si="209"/>
        <v>2985666201.5625</v>
      </c>
      <c r="X472" s="345">
        <f t="shared" si="203"/>
        <v>39.019255311507031</v>
      </c>
      <c r="Y472" s="346">
        <f t="shared" si="204"/>
        <v>-16.013481768851477</v>
      </c>
      <c r="AA472" s="345">
        <f t="shared" si="205"/>
        <v>18.56610758739814</v>
      </c>
      <c r="AB472" s="346">
        <f t="shared" si="206"/>
        <v>-87.578873996690248</v>
      </c>
      <c r="AD472">
        <f t="shared" si="210"/>
        <v>0</v>
      </c>
      <c r="AE472">
        <f t="shared" si="187"/>
        <v>0</v>
      </c>
    </row>
    <row r="473" spans="1:31" x14ac:dyDescent="0.2">
      <c r="A473" s="347">
        <v>54954</v>
      </c>
      <c r="B473" s="364">
        <f t="shared" si="207"/>
        <v>54.954000000000001</v>
      </c>
      <c r="C473" s="337">
        <f t="shared" si="188"/>
        <v>135.7887047467859</v>
      </c>
      <c r="D473" s="338">
        <f t="shared" si="189"/>
        <v>1.5634318774387612</v>
      </c>
      <c r="E473" s="338">
        <f t="shared" si="190"/>
        <v>1.005350699117058</v>
      </c>
      <c r="F473" s="339">
        <f t="shared" si="191"/>
        <v>0.10321772357403257</v>
      </c>
      <c r="G473" s="338">
        <f t="shared" si="192"/>
        <v>1</v>
      </c>
      <c r="H473" s="339">
        <f t="shared" si="193"/>
        <v>0</v>
      </c>
      <c r="I473" s="337">
        <f t="shared" si="194"/>
        <v>7300.9897053643726</v>
      </c>
      <c r="J473" s="340">
        <f t="shared" si="195"/>
        <v>1.5706593590626463</v>
      </c>
      <c r="K473" s="348">
        <f t="shared" si="211"/>
        <v>8.6041417084689726</v>
      </c>
      <c r="L473" s="349">
        <f t="shared" si="212"/>
        <v>1.454309972783993</v>
      </c>
      <c r="M473" s="337">
        <f t="shared" si="196"/>
        <v>1.013498632975891</v>
      </c>
      <c r="N473" s="340">
        <f t="shared" si="197"/>
        <v>0.16339227331906628</v>
      </c>
      <c r="O473" s="341">
        <f t="shared" si="198"/>
        <v>0.99930134957655514</v>
      </c>
      <c r="P473" s="342">
        <f t="shared" si="199"/>
        <v>6.8173520920610881E-2</v>
      </c>
      <c r="Q473" s="343">
        <f t="shared" si="200"/>
        <v>0.70165570951877754</v>
      </c>
      <c r="R473" s="344">
        <f t="shared" si="201"/>
        <v>-103.59817979232623</v>
      </c>
      <c r="S473" s="346">
        <f t="shared" si="202"/>
        <v>76.401820207673765</v>
      </c>
      <c r="U473" s="319">
        <f t="shared" si="208"/>
        <v>1000000000</v>
      </c>
      <c r="V473" s="319">
        <f t="shared" si="209"/>
        <v>3019942116</v>
      </c>
      <c r="X473" s="345">
        <f t="shared" si="203"/>
        <v>39.01727742460978</v>
      </c>
      <c r="Y473" s="346">
        <f t="shared" si="204"/>
        <v>-16.028016467249348</v>
      </c>
      <c r="AA473" s="345">
        <f t="shared" si="205"/>
        <v>18.517128443004005</v>
      </c>
      <c r="AB473" s="346">
        <f t="shared" si="206"/>
        <v>-87.570163325076877</v>
      </c>
      <c r="AD473">
        <f t="shared" si="210"/>
        <v>0</v>
      </c>
      <c r="AE473">
        <f t="shared" si="187"/>
        <v>0</v>
      </c>
    </row>
    <row r="474" spans="1:31" x14ac:dyDescent="0.2">
      <c r="A474" s="347">
        <v>55274</v>
      </c>
      <c r="B474" s="364">
        <f t="shared" si="207"/>
        <v>55.274000000000001</v>
      </c>
      <c r="C474" s="337">
        <f t="shared" si="188"/>
        <v>136.57936667744971</v>
      </c>
      <c r="D474" s="338">
        <f t="shared" si="189"/>
        <v>1.5634745112145967</v>
      </c>
      <c r="E474" s="338">
        <f t="shared" si="190"/>
        <v>1.0054130271052404</v>
      </c>
      <c r="F474" s="339">
        <f t="shared" si="191"/>
        <v>0.1038144689113753</v>
      </c>
      <c r="G474" s="338">
        <f t="shared" si="192"/>
        <v>1</v>
      </c>
      <c r="H474" s="339">
        <f t="shared" si="193"/>
        <v>0</v>
      </c>
      <c r="I474" s="337">
        <f t="shared" si="194"/>
        <v>7343.5037473269922</v>
      </c>
      <c r="J474" s="340">
        <f t="shared" si="195"/>
        <v>1.5706601520154591</v>
      </c>
      <c r="K474" s="348">
        <f t="shared" si="211"/>
        <v>8.6535692326971159</v>
      </c>
      <c r="L474" s="349">
        <f t="shared" si="212"/>
        <v>1.4549783201713336</v>
      </c>
      <c r="M474" s="337">
        <f t="shared" si="196"/>
        <v>1.0136552351189234</v>
      </c>
      <c r="N474" s="340">
        <f t="shared" si="197"/>
        <v>0.16432672717689975</v>
      </c>
      <c r="O474" s="341">
        <f t="shared" si="198"/>
        <v>0.99929324036669753</v>
      </c>
      <c r="P474" s="342">
        <f t="shared" si="199"/>
        <v>6.8571677758138397E-2</v>
      </c>
      <c r="Q474" s="343">
        <f t="shared" si="200"/>
        <v>0.64981635197401844</v>
      </c>
      <c r="R474" s="344">
        <f t="shared" si="201"/>
        <v>-103.6045364553642</v>
      </c>
      <c r="S474" s="346">
        <f t="shared" si="202"/>
        <v>76.395463544635803</v>
      </c>
      <c r="U474" s="319">
        <f t="shared" si="208"/>
        <v>1000000000</v>
      </c>
      <c r="V474" s="319">
        <f t="shared" si="209"/>
        <v>3055215076</v>
      </c>
      <c r="X474" s="345">
        <f t="shared" si="203"/>
        <v>39.015258082495144</v>
      </c>
      <c r="Y474" s="346">
        <f t="shared" si="204"/>
        <v>-16.043308677776714</v>
      </c>
      <c r="AA474" s="345">
        <f t="shared" si="205"/>
        <v>18.467308427573879</v>
      </c>
      <c r="AB474" s="346">
        <f t="shared" si="206"/>
        <v>-87.561227777587504</v>
      </c>
      <c r="AD474">
        <f t="shared" si="210"/>
        <v>0</v>
      </c>
      <c r="AE474">
        <f t="shared" ref="AE474:AE537" si="213">IF(AD474&gt;0,S474,0)</f>
        <v>0</v>
      </c>
    </row>
    <row r="475" spans="1:31" x14ac:dyDescent="0.2">
      <c r="A475" s="347">
        <v>55594</v>
      </c>
      <c r="B475" s="364">
        <f t="shared" si="207"/>
        <v>55.594000000000001</v>
      </c>
      <c r="C475" s="337">
        <f t="shared" si="188"/>
        <v>137.37002885350773</v>
      </c>
      <c r="D475" s="338">
        <f t="shared" si="189"/>
        <v>1.5635166542151291</v>
      </c>
      <c r="E475" s="338">
        <f t="shared" si="190"/>
        <v>1.0054757130815641</v>
      </c>
      <c r="F475" s="339">
        <f t="shared" si="191"/>
        <v>0.10441114005348059</v>
      </c>
      <c r="G475" s="338">
        <f t="shared" si="192"/>
        <v>1</v>
      </c>
      <c r="H475" s="339">
        <f t="shared" si="193"/>
        <v>0</v>
      </c>
      <c r="I475" s="337">
        <f t="shared" si="194"/>
        <v>7386.0177892941765</v>
      </c>
      <c r="J475" s="340">
        <f t="shared" si="195"/>
        <v>1.5706609358397727</v>
      </c>
      <c r="K475" s="348">
        <f t="shared" si="211"/>
        <v>8.7030005784652005</v>
      </c>
      <c r="L475" s="349">
        <f t="shared" si="212"/>
        <v>1.45563907568544</v>
      </c>
      <c r="M475" s="337">
        <f t="shared" si="196"/>
        <v>1.0138127221158748</v>
      </c>
      <c r="N475" s="340">
        <f t="shared" si="197"/>
        <v>0.16526089153166476</v>
      </c>
      <c r="O475" s="341">
        <f t="shared" si="198"/>
        <v>0.99928508526312931</v>
      </c>
      <c r="P475" s="342">
        <f t="shared" si="199"/>
        <v>6.8969855118563697E-2</v>
      </c>
      <c r="Q475" s="343">
        <f t="shared" si="200"/>
        <v>0.598275717270629</v>
      </c>
      <c r="R475" s="344">
        <f t="shared" si="201"/>
        <v>-103.61128829796496</v>
      </c>
      <c r="S475" s="346">
        <f t="shared" si="202"/>
        <v>76.388711702035039</v>
      </c>
      <c r="U475" s="319">
        <f t="shared" si="208"/>
        <v>1000000000</v>
      </c>
      <c r="V475" s="319">
        <f t="shared" si="209"/>
        <v>3090692836</v>
      </c>
      <c r="X475" s="345">
        <f t="shared" si="203"/>
        <v>39.013242926256396</v>
      </c>
      <c r="Y475" s="346">
        <f t="shared" si="204"/>
        <v>-16.059018760271012</v>
      </c>
      <c r="AA475" s="345">
        <f t="shared" si="205"/>
        <v>18.417782949109235</v>
      </c>
      <c r="AB475" s="346">
        <f t="shared" si="206"/>
        <v>-87.552269537693931</v>
      </c>
      <c r="AD475">
        <f t="shared" si="210"/>
        <v>0</v>
      </c>
      <c r="AE475">
        <f t="shared" si="213"/>
        <v>0</v>
      </c>
    </row>
    <row r="476" spans="1:31" x14ac:dyDescent="0.2">
      <c r="A476" s="347">
        <v>55914</v>
      </c>
      <c r="B476" s="364">
        <f t="shared" si="207"/>
        <v>55.914000000000001</v>
      </c>
      <c r="C476" s="337">
        <f t="shared" si="188"/>
        <v>138.16069127074701</v>
      </c>
      <c r="D476" s="338">
        <f t="shared" si="189"/>
        <v>1.5635583148659962</v>
      </c>
      <c r="E476" s="338">
        <f t="shared" si="190"/>
        <v>1.0055387569790779</v>
      </c>
      <c r="F476" s="339">
        <f t="shared" si="191"/>
        <v>0.10500773658941501</v>
      </c>
      <c r="G476" s="338">
        <f t="shared" si="192"/>
        <v>1</v>
      </c>
      <c r="H476" s="339">
        <f t="shared" si="193"/>
        <v>0</v>
      </c>
      <c r="I476" s="337">
        <f t="shared" si="194"/>
        <v>7428.5318312658455</v>
      </c>
      <c r="J476" s="340">
        <f t="shared" si="195"/>
        <v>1.5706617106923162</v>
      </c>
      <c r="K476" s="348">
        <f t="shared" si="211"/>
        <v>8.752435681024215</v>
      </c>
      <c r="L476" s="349">
        <f t="shared" si="212"/>
        <v>1.4562923673846015</v>
      </c>
      <c r="M476" s="337">
        <f t="shared" si="196"/>
        <v>1.0139710935544464</v>
      </c>
      <c r="N476" s="340">
        <f t="shared" si="197"/>
        <v>0.16619476488821561</v>
      </c>
      <c r="O476" s="341">
        <f t="shared" si="198"/>
        <v>0.99927688428654005</v>
      </c>
      <c r="P476" s="342">
        <f t="shared" si="199"/>
        <v>6.9368053120367978E-2</v>
      </c>
      <c r="Q476" s="343">
        <f t="shared" si="200"/>
        <v>0.54703020931690727</v>
      </c>
      <c r="R476" s="344">
        <f t="shared" si="201"/>
        <v>-103.61842841933002</v>
      </c>
      <c r="S476" s="346">
        <f t="shared" si="202"/>
        <v>76.381571580669984</v>
      </c>
      <c r="U476" s="319">
        <f t="shared" si="208"/>
        <v>1000000000</v>
      </c>
      <c r="V476" s="319">
        <f t="shared" si="209"/>
        <v>3126375396</v>
      </c>
      <c r="X476" s="345">
        <f t="shared" si="203"/>
        <v>39.011231701908393</v>
      </c>
      <c r="Y476" s="346">
        <f t="shared" si="204"/>
        <v>-16.075139300847116</v>
      </c>
      <c r="AA476" s="345">
        <f t="shared" si="205"/>
        <v>18.368548665503525</v>
      </c>
      <c r="AB476" s="346">
        <f t="shared" si="206"/>
        <v>-87.543289118482875</v>
      </c>
      <c r="AD476">
        <f t="shared" si="210"/>
        <v>0</v>
      </c>
      <c r="AE476">
        <f t="shared" si="213"/>
        <v>0</v>
      </c>
    </row>
    <row r="477" spans="1:31" x14ac:dyDescent="0.2">
      <c r="A477" s="347">
        <v>56234</v>
      </c>
      <c r="B477" s="364">
        <f t="shared" si="207"/>
        <v>56.234000000000002</v>
      </c>
      <c r="C477" s="337">
        <f t="shared" si="188"/>
        <v>138.95135392505034</v>
      </c>
      <c r="D477" s="338">
        <f t="shared" si="189"/>
        <v>1.5635995014010671</v>
      </c>
      <c r="E477" s="338">
        <f t="shared" si="190"/>
        <v>1.005602158730464</v>
      </c>
      <c r="F477" s="339">
        <f t="shared" si="191"/>
        <v>0.10560425810856032</v>
      </c>
      <c r="G477" s="338">
        <f t="shared" si="192"/>
        <v>1</v>
      </c>
      <c r="H477" s="339">
        <f t="shared" si="193"/>
        <v>0</v>
      </c>
      <c r="I477" s="337">
        <f t="shared" si="194"/>
        <v>7471.0458732419256</v>
      </c>
      <c r="J477" s="340">
        <f t="shared" si="195"/>
        <v>1.5706624767262514</v>
      </c>
      <c r="K477" s="348">
        <f t="shared" si="211"/>
        <v>8.8018744770749109</v>
      </c>
      <c r="L477" s="349">
        <f t="shared" si="212"/>
        <v>1.4569383204757851</v>
      </c>
      <c r="M477" s="337">
        <f t="shared" si="196"/>
        <v>1.0141303490202824</v>
      </c>
      <c r="N477" s="340">
        <f t="shared" si="197"/>
        <v>0.16712834575436833</v>
      </c>
      <c r="O477" s="341">
        <f t="shared" si="198"/>
        <v>0.99926863745773986</v>
      </c>
      <c r="P477" s="342">
        <f t="shared" si="199"/>
        <v>6.9766271882026457E-2</v>
      </c>
      <c r="Q477" s="343">
        <f t="shared" si="200"/>
        <v>0.49607629653906204</v>
      </c>
      <c r="R477" s="344">
        <f t="shared" si="201"/>
        <v>-103.62595007098903</v>
      </c>
      <c r="S477" s="346">
        <f t="shared" si="202"/>
        <v>76.374049929010965</v>
      </c>
      <c r="U477" s="319">
        <f t="shared" si="208"/>
        <v>1000000000</v>
      </c>
      <c r="V477" s="319">
        <f t="shared" si="209"/>
        <v>3162262756</v>
      </c>
      <c r="X477" s="345">
        <f t="shared" si="203"/>
        <v>39.009224162807435</v>
      </c>
      <c r="Y477" s="346">
        <f t="shared" si="204"/>
        <v>-16.091663048953926</v>
      </c>
      <c r="AA477" s="345">
        <f t="shared" si="205"/>
        <v>18.319602291826634</v>
      </c>
      <c r="AB477" s="346">
        <f t="shared" si="206"/>
        <v>-87.53428702203513</v>
      </c>
      <c r="AD477">
        <f t="shared" si="210"/>
        <v>0</v>
      </c>
      <c r="AE477">
        <f t="shared" si="213"/>
        <v>0</v>
      </c>
    </row>
    <row r="478" spans="1:31" x14ac:dyDescent="0.2">
      <c r="A478" s="347">
        <v>56561.5</v>
      </c>
      <c r="B478" s="364">
        <f t="shared" si="207"/>
        <v>56.561500000000002</v>
      </c>
      <c r="C478" s="337">
        <f t="shared" si="188"/>
        <v>139.76054797657895</v>
      </c>
      <c r="D478" s="338">
        <f t="shared" si="189"/>
        <v>1.5636411707280482</v>
      </c>
      <c r="E478" s="338">
        <f t="shared" si="190"/>
        <v>1.0056674169227287</v>
      </c>
      <c r="F478" s="339">
        <f t="shared" si="191"/>
        <v>0.10621468249795264</v>
      </c>
      <c r="G478" s="338">
        <f t="shared" si="192"/>
        <v>1</v>
      </c>
      <c r="H478" s="339">
        <f t="shared" si="193"/>
        <v>0</v>
      </c>
      <c r="I478" s="337">
        <f t="shared" si="194"/>
        <v>7514.5563380813064</v>
      </c>
      <c r="J478" s="340">
        <f t="shared" si="195"/>
        <v>1.5706632517392365</v>
      </c>
      <c r="K478" s="348">
        <f t="shared" si="211"/>
        <v>8.8524757546887631</v>
      </c>
      <c r="L478" s="349">
        <f t="shared" si="212"/>
        <v>1.4575919422170163</v>
      </c>
      <c r="M478" s="337">
        <f t="shared" si="196"/>
        <v>1.0142942519507099</v>
      </c>
      <c r="N478" s="340">
        <f t="shared" si="197"/>
        <v>0.16808350301447042</v>
      </c>
      <c r="O478" s="341">
        <f t="shared" si="198"/>
        <v>0.99926014988893486</v>
      </c>
      <c r="P478" s="342">
        <f t="shared" si="199"/>
        <v>7.0173845514931027E-2</v>
      </c>
      <c r="Q478" s="343">
        <f t="shared" si="200"/>
        <v>0.44422645891457768</v>
      </c>
      <c r="R478" s="344">
        <f t="shared" si="201"/>
        <v>-103.63403617292936</v>
      </c>
      <c r="S478" s="346">
        <f t="shared" si="202"/>
        <v>76.365963827070644</v>
      </c>
      <c r="U478" s="319">
        <f t="shared" si="208"/>
        <v>1000000000</v>
      </c>
      <c r="V478" s="319">
        <f t="shared" si="209"/>
        <v>3199203282.25</v>
      </c>
      <c r="X478" s="345">
        <f t="shared" si="203"/>
        <v>39.007173137898647</v>
      </c>
      <c r="Y478" s="346">
        <f t="shared" si="204"/>
        <v>-16.108984166551423</v>
      </c>
      <c r="AA478" s="345">
        <f t="shared" si="205"/>
        <v>18.269803479110941</v>
      </c>
      <c r="AB478" s="346">
        <f t="shared" si="206"/>
        <v>-87.525052006377962</v>
      </c>
      <c r="AD478">
        <f t="shared" si="210"/>
        <v>0</v>
      </c>
      <c r="AE478">
        <f t="shared" si="213"/>
        <v>0</v>
      </c>
    </row>
    <row r="479" spans="1:31" x14ac:dyDescent="0.2">
      <c r="A479" s="347">
        <v>56889</v>
      </c>
      <c r="B479" s="364">
        <f t="shared" si="207"/>
        <v>56.889000000000003</v>
      </c>
      <c r="C479" s="337">
        <f t="shared" si="188"/>
        <v>140.56974226798451</v>
      </c>
      <c r="D479" s="338">
        <f t="shared" si="189"/>
        <v>1.5636823603134289</v>
      </c>
      <c r="E479" s="338">
        <f t="shared" si="190"/>
        <v>1.0057330497959986</v>
      </c>
      <c r="F479" s="339">
        <f t="shared" si="191"/>
        <v>0.10682502744369071</v>
      </c>
      <c r="G479" s="338">
        <f t="shared" si="192"/>
        <v>1</v>
      </c>
      <c r="H479" s="339">
        <f t="shared" si="193"/>
        <v>0</v>
      </c>
      <c r="I479" s="337">
        <f t="shared" si="194"/>
        <v>7558.0668029251483</v>
      </c>
      <c r="J479" s="340">
        <f t="shared" si="195"/>
        <v>1.5706640178289941</v>
      </c>
      <c r="K479" s="348">
        <f t="shared" si="211"/>
        <v>8.9030807712784519</v>
      </c>
      <c r="L479" s="349">
        <f t="shared" si="212"/>
        <v>1.4582381338736283</v>
      </c>
      <c r="M479" s="337">
        <f t="shared" si="196"/>
        <v>1.0144590799480282</v>
      </c>
      <c r="N479" s="340">
        <f t="shared" si="197"/>
        <v>0.16903835076004015</v>
      </c>
      <c r="O479" s="341">
        <f t="shared" si="198"/>
        <v>0.99925161433789955</v>
      </c>
      <c r="P479" s="342">
        <f t="shared" si="199"/>
        <v>7.0581441143288667E-2</v>
      </c>
      <c r="Q479" s="343">
        <f t="shared" si="200"/>
        <v>0.39267476074537627</v>
      </c>
      <c r="R479" s="344">
        <f t="shared" si="201"/>
        <v>-103.64250806708435</v>
      </c>
      <c r="S479" s="346">
        <f t="shared" si="202"/>
        <v>76.35749193291565</v>
      </c>
      <c r="U479" s="319">
        <f t="shared" si="208"/>
        <v>1000000000</v>
      </c>
      <c r="V479" s="319">
        <f t="shared" si="209"/>
        <v>3236358321</v>
      </c>
      <c r="X479" s="345">
        <f t="shared" si="203"/>
        <v>39.005125472782957</v>
      </c>
      <c r="Y479" s="346">
        <f t="shared" si="204"/>
        <v>-16.126712751499806</v>
      </c>
      <c r="AA479" s="345">
        <f t="shared" si="205"/>
        <v>18.220299446057425</v>
      </c>
      <c r="AB479" s="346">
        <f t="shared" si="206"/>
        <v>-87.515795315584526</v>
      </c>
      <c r="AD479">
        <f t="shared" si="210"/>
        <v>0</v>
      </c>
      <c r="AE479">
        <f t="shared" si="213"/>
        <v>0</v>
      </c>
    </row>
    <row r="480" spans="1:31" x14ac:dyDescent="0.2">
      <c r="A480" s="347">
        <v>57216.5</v>
      </c>
      <c r="B480" s="364">
        <f t="shared" si="207"/>
        <v>57.216500000000003</v>
      </c>
      <c r="C480" s="337">
        <f t="shared" si="188"/>
        <v>141.37893679514809</v>
      </c>
      <c r="D480" s="338">
        <f t="shared" si="189"/>
        <v>1.5637230783945959</v>
      </c>
      <c r="E480" s="338">
        <f t="shared" si="190"/>
        <v>1.0057990572769253</v>
      </c>
      <c r="F480" s="339">
        <f t="shared" si="191"/>
        <v>0.10743529250663884</v>
      </c>
      <c r="G480" s="338">
        <f t="shared" si="192"/>
        <v>1</v>
      </c>
      <c r="H480" s="339">
        <f t="shared" si="193"/>
        <v>0</v>
      </c>
      <c r="I480" s="337">
        <f t="shared" si="194"/>
        <v>7601.5772677733767</v>
      </c>
      <c r="J480" s="340">
        <f t="shared" si="195"/>
        <v>1.5706647751487504</v>
      </c>
      <c r="K480" s="348">
        <f t="shared" si="211"/>
        <v>8.9536894634474482</v>
      </c>
      <c r="L480" s="349">
        <f t="shared" si="212"/>
        <v>1.4588770208919288</v>
      </c>
      <c r="M480" s="337">
        <f t="shared" si="196"/>
        <v>1.0146248325614005</v>
      </c>
      <c r="N480" s="340">
        <f t="shared" si="197"/>
        <v>0.16999288740121288</v>
      </c>
      <c r="O480" s="341">
        <f t="shared" si="198"/>
        <v>0.99924303082733312</v>
      </c>
      <c r="P480" s="342">
        <f t="shared" si="199"/>
        <v>7.0989058894082024E-2</v>
      </c>
      <c r="Q480" s="343">
        <f t="shared" si="200"/>
        <v>0.34141761627009665</v>
      </c>
      <c r="R480" s="344">
        <f t="shared" si="201"/>
        <v>-103.65135898800033</v>
      </c>
      <c r="S480" s="346">
        <f t="shared" si="202"/>
        <v>76.348641011999675</v>
      </c>
      <c r="U480" s="319">
        <f t="shared" si="208"/>
        <v>1000000000</v>
      </c>
      <c r="V480" s="319">
        <f t="shared" si="209"/>
        <v>3273727872.25</v>
      </c>
      <c r="X480" s="345">
        <f t="shared" si="203"/>
        <v>39.003080925390762</v>
      </c>
      <c r="Y480" s="346">
        <f t="shared" si="204"/>
        <v>-16.144841533941769</v>
      </c>
      <c r="AA480" s="345">
        <f t="shared" si="205"/>
        <v>18.171086848974344</v>
      </c>
      <c r="AB480" s="346">
        <f t="shared" si="206"/>
        <v>-87.506517454058539</v>
      </c>
      <c r="AD480">
        <f t="shared" si="210"/>
        <v>0</v>
      </c>
      <c r="AE480">
        <f t="shared" si="213"/>
        <v>0</v>
      </c>
    </row>
    <row r="481" spans="1:31" x14ac:dyDescent="0.2">
      <c r="A481" s="347">
        <v>57544</v>
      </c>
      <c r="B481" s="364">
        <f t="shared" si="207"/>
        <v>57.543999999999997</v>
      </c>
      <c r="C481" s="337">
        <f t="shared" si="188"/>
        <v>142.1881315540447</v>
      </c>
      <c r="D481" s="338">
        <f t="shared" si="189"/>
        <v>1.5637633330214251</v>
      </c>
      <c r="E481" s="338">
        <f t="shared" si="190"/>
        <v>1.0058654392917601</v>
      </c>
      <c r="F481" s="339">
        <f t="shared" si="191"/>
        <v>0.10804547724801428</v>
      </c>
      <c r="G481" s="338">
        <f t="shared" si="192"/>
        <v>1</v>
      </c>
      <c r="H481" s="339">
        <f t="shared" si="193"/>
        <v>0</v>
      </c>
      <c r="I481" s="337">
        <f t="shared" si="194"/>
        <v>7645.0877326259124</v>
      </c>
      <c r="J481" s="340">
        <f t="shared" si="195"/>
        <v>1.5706655238482432</v>
      </c>
      <c r="K481" s="348">
        <f t="shared" si="211"/>
        <v>9.004301769219957</v>
      </c>
      <c r="L481" s="349">
        <f t="shared" si="212"/>
        <v>1.4595087259219004</v>
      </c>
      <c r="M481" s="337">
        <f t="shared" si="196"/>
        <v>1.0147915093377555</v>
      </c>
      <c r="N481" s="340">
        <f t="shared" si="197"/>
        <v>0.17094711135142743</v>
      </c>
      <c r="O481" s="341">
        <f t="shared" si="198"/>
        <v>0.99923439938006697</v>
      </c>
      <c r="P481" s="342">
        <f t="shared" si="199"/>
        <v>7.1396698894287181E-2</v>
      </c>
      <c r="Q481" s="343">
        <f t="shared" si="200"/>
        <v>0.29045150397025749</v>
      </c>
      <c r="R481" s="344">
        <f t="shared" si="201"/>
        <v>-103.66058231966653</v>
      </c>
      <c r="S481" s="346">
        <f t="shared" si="202"/>
        <v>76.339417680333469</v>
      </c>
      <c r="U481" s="319">
        <f t="shared" si="208"/>
        <v>1000000000</v>
      </c>
      <c r="V481" s="319">
        <f t="shared" si="209"/>
        <v>3311311936</v>
      </c>
      <c r="X481" s="345">
        <f t="shared" si="203"/>
        <v>39.001039260686063</v>
      </c>
      <c r="Y481" s="346">
        <f t="shared" si="204"/>
        <v>-16.163363404227034</v>
      </c>
      <c r="AA481" s="345">
        <f t="shared" si="205"/>
        <v>18.1221624013792</v>
      </c>
      <c r="AB481" s="346">
        <f t="shared" si="206"/>
        <v>-87.497218915439475</v>
      </c>
      <c r="AD481">
        <f t="shared" si="210"/>
        <v>0</v>
      </c>
      <c r="AE481">
        <f t="shared" si="213"/>
        <v>0</v>
      </c>
    </row>
    <row r="482" spans="1:31" x14ac:dyDescent="0.2">
      <c r="A482" s="347">
        <v>57879</v>
      </c>
      <c r="B482" s="364">
        <f t="shared" si="207"/>
        <v>57.878999999999998</v>
      </c>
      <c r="C482" s="337">
        <f t="shared" si="188"/>
        <v>143.01585772627922</v>
      </c>
      <c r="D482" s="338">
        <f t="shared" si="189"/>
        <v>1.5638040382149569</v>
      </c>
      <c r="E482" s="338">
        <f t="shared" si="190"/>
        <v>1.0059337289258945</v>
      </c>
      <c r="F482" s="339">
        <f t="shared" si="191"/>
        <v>0.10866955212692034</v>
      </c>
      <c r="G482" s="338">
        <f t="shared" si="192"/>
        <v>1</v>
      </c>
      <c r="H482" s="339">
        <f t="shared" si="193"/>
        <v>0</v>
      </c>
      <c r="I482" s="337">
        <f t="shared" si="194"/>
        <v>7689.5946203420526</v>
      </c>
      <c r="J482" s="340">
        <f t="shared" si="195"/>
        <v>1.5706662809274365</v>
      </c>
      <c r="K482" s="348">
        <f t="shared" si="211"/>
        <v>9.0560768109500938</v>
      </c>
      <c r="L482" s="349">
        <f t="shared" si="212"/>
        <v>1.4601475919114901</v>
      </c>
      <c r="M482" s="337">
        <f t="shared" si="196"/>
        <v>1.0149629588162319</v>
      </c>
      <c r="N482" s="340">
        <f t="shared" si="197"/>
        <v>0.17192286259374201</v>
      </c>
      <c r="O482" s="341">
        <f t="shared" si="198"/>
        <v>0.99922552069405912</v>
      </c>
      <c r="P482" s="342">
        <f t="shared" si="199"/>
        <v>7.1813697313578298E-2</v>
      </c>
      <c r="Q482" s="343">
        <f t="shared" si="200"/>
        <v>0.23861572909374879</v>
      </c>
      <c r="R482" s="344">
        <f t="shared" si="201"/>
        <v>-103.67039542890279</v>
      </c>
      <c r="S482" s="346">
        <f t="shared" si="202"/>
        <v>76.329604571097207</v>
      </c>
      <c r="U482" s="319">
        <f t="shared" si="208"/>
        <v>1000000000</v>
      </c>
      <c r="V482" s="319">
        <f t="shared" si="209"/>
        <v>3349978641</v>
      </c>
      <c r="X482" s="345">
        <f t="shared" si="203"/>
        <v>38.998953584869042</v>
      </c>
      <c r="Y482" s="346">
        <f t="shared" si="204"/>
        <v>-16.182708884853014</v>
      </c>
      <c r="AA482" s="345">
        <f t="shared" si="205"/>
        <v>18.072412302319712</v>
      </c>
      <c r="AB482" s="346">
        <f t="shared" si="206"/>
        <v>-87.487686544049765</v>
      </c>
      <c r="AD482">
        <f t="shared" si="210"/>
        <v>0</v>
      </c>
      <c r="AE482">
        <f t="shared" si="213"/>
        <v>0</v>
      </c>
    </row>
    <row r="483" spans="1:31" x14ac:dyDescent="0.2">
      <c r="A483" s="347">
        <v>58214</v>
      </c>
      <c r="B483" s="364">
        <f t="shared" si="207"/>
        <v>58.213999999999999</v>
      </c>
      <c r="C483" s="337">
        <f t="shared" si="188"/>
        <v>143.84358413275143</v>
      </c>
      <c r="D483" s="338">
        <f t="shared" si="189"/>
        <v>1.5638442749446497</v>
      </c>
      <c r="E483" s="338">
        <f t="shared" si="190"/>
        <v>1.0060024102872109</v>
      </c>
      <c r="F483" s="339">
        <f t="shared" si="191"/>
        <v>0.10929354203568355</v>
      </c>
      <c r="G483" s="338">
        <f t="shared" si="192"/>
        <v>1</v>
      </c>
      <c r="H483" s="339">
        <f t="shared" si="193"/>
        <v>0</v>
      </c>
      <c r="I483" s="337">
        <f t="shared" si="194"/>
        <v>7734.1015080625484</v>
      </c>
      <c r="J483" s="340">
        <f t="shared" si="195"/>
        <v>1.5706670292932097</v>
      </c>
      <c r="K483" s="348">
        <f t="shared" si="211"/>
        <v>9.1078555068911982</v>
      </c>
      <c r="L483" s="349">
        <f t="shared" si="212"/>
        <v>1.4607791941747403</v>
      </c>
      <c r="M483" s="337">
        <f t="shared" si="196"/>
        <v>1.0151353743043339</v>
      </c>
      <c r="N483" s="340">
        <f t="shared" si="197"/>
        <v>0.17289828331188883</v>
      </c>
      <c r="O483" s="341">
        <f t="shared" si="198"/>
        <v>0.99921659189938494</v>
      </c>
      <c r="P483" s="342">
        <f t="shared" si="199"/>
        <v>7.223071928174439E-2</v>
      </c>
      <c r="Q483" s="343">
        <f t="shared" si="200"/>
        <v>0.18707721428841773</v>
      </c>
      <c r="R483" s="344">
        <f t="shared" si="201"/>
        <v>-103.68058465880112</v>
      </c>
      <c r="S483" s="346">
        <f t="shared" si="202"/>
        <v>76.319415341198876</v>
      </c>
      <c r="U483" s="319">
        <f t="shared" si="208"/>
        <v>1000000000</v>
      </c>
      <c r="V483" s="319">
        <f t="shared" si="209"/>
        <v>3388869796</v>
      </c>
      <c r="X483" s="345">
        <f t="shared" si="203"/>
        <v>38.996870449337315</v>
      </c>
      <c r="Y483" s="346">
        <f t="shared" si="204"/>
        <v>-16.202451109460185</v>
      </c>
      <c r="AA483" s="345">
        <f t="shared" si="205"/>
        <v>18.022956923046113</v>
      </c>
      <c r="AB483" s="346">
        <f t="shared" si="206"/>
        <v>-87.478133549340924</v>
      </c>
      <c r="AD483">
        <f t="shared" si="210"/>
        <v>0</v>
      </c>
      <c r="AE483">
        <f t="shared" si="213"/>
        <v>0</v>
      </c>
    </row>
    <row r="484" spans="1:31" x14ac:dyDescent="0.2">
      <c r="A484" s="347">
        <v>58549</v>
      </c>
      <c r="B484" s="364">
        <f t="shared" si="207"/>
        <v>58.548999999999999</v>
      </c>
      <c r="C484" s="337">
        <f t="shared" si="188"/>
        <v>144.67131076944077</v>
      </c>
      <c r="D484" s="338">
        <f t="shared" si="189"/>
        <v>1.56388405125122</v>
      </c>
      <c r="E484" s="338">
        <f t="shared" si="190"/>
        <v>1.0060714832954831</v>
      </c>
      <c r="F484" s="339">
        <f t="shared" si="191"/>
        <v>0.10991744650583819</v>
      </c>
      <c r="G484" s="338">
        <f t="shared" si="192"/>
        <v>1</v>
      </c>
      <c r="H484" s="339">
        <f t="shared" si="193"/>
        <v>0</v>
      </c>
      <c r="I484" s="337">
        <f t="shared" si="194"/>
        <v>7778.6083957873261</v>
      </c>
      <c r="J484" s="340">
        <f t="shared" si="195"/>
        <v>1.5706677690951292</v>
      </c>
      <c r="K484" s="348">
        <f t="shared" si="211"/>
        <v>9.1596377950723902</v>
      </c>
      <c r="L484" s="349">
        <f t="shared" si="212"/>
        <v>1.4614036553957388</v>
      </c>
      <c r="M484" s="337">
        <f t="shared" si="196"/>
        <v>1.0153087553099303</v>
      </c>
      <c r="N484" s="340">
        <f t="shared" si="197"/>
        <v>0.17387337181860793</v>
      </c>
      <c r="O484" s="341">
        <f t="shared" si="198"/>
        <v>0.99920761302090944</v>
      </c>
      <c r="P484" s="342">
        <f t="shared" si="199"/>
        <v>7.264776493466428E-2</v>
      </c>
      <c r="Q484" s="343">
        <f t="shared" si="200"/>
        <v>0.13583238930830857</v>
      </c>
      <c r="R484" s="344">
        <f t="shared" si="201"/>
        <v>-103.69114338730324</v>
      </c>
      <c r="S484" s="346">
        <f t="shared" si="202"/>
        <v>76.308856612696758</v>
      </c>
      <c r="U484" s="319">
        <f t="shared" si="208"/>
        <v>1000000000</v>
      </c>
      <c r="V484" s="319">
        <f t="shared" si="209"/>
        <v>3427985401</v>
      </c>
      <c r="X484" s="345">
        <f t="shared" si="203"/>
        <v>38.994789623884991</v>
      </c>
      <c r="Y484" s="346">
        <f t="shared" si="204"/>
        <v>-16.222582960664766</v>
      </c>
      <c r="AA484" s="345">
        <f t="shared" si="205"/>
        <v>17.973792923518328</v>
      </c>
      <c r="AB484" s="346">
        <f t="shared" si="206"/>
        <v>-87.468560426638462</v>
      </c>
      <c r="AD484">
        <f t="shared" si="210"/>
        <v>0</v>
      </c>
      <c r="AE484">
        <f t="shared" si="213"/>
        <v>0</v>
      </c>
    </row>
    <row r="485" spans="1:31" x14ac:dyDescent="0.2">
      <c r="A485" s="347">
        <v>58884</v>
      </c>
      <c r="B485" s="364">
        <f t="shared" si="207"/>
        <v>58.884</v>
      </c>
      <c r="C485" s="337">
        <f t="shared" si="188"/>
        <v>145.49903763241815</v>
      </c>
      <c r="D485" s="338">
        <f t="shared" si="189"/>
        <v>1.5639233749924191</v>
      </c>
      <c r="E485" s="338">
        <f t="shared" si="190"/>
        <v>1.0061409478700498</v>
      </c>
      <c r="F485" s="339">
        <f t="shared" si="191"/>
        <v>0.11054126506931283</v>
      </c>
      <c r="G485" s="338">
        <f t="shared" si="192"/>
        <v>1</v>
      </c>
      <c r="H485" s="339">
        <f t="shared" si="193"/>
        <v>0</v>
      </c>
      <c r="I485" s="337">
        <f t="shared" si="194"/>
        <v>7823.115283516312</v>
      </c>
      <c r="J485" s="340">
        <f t="shared" si="195"/>
        <v>1.5706685004793584</v>
      </c>
      <c r="K485" s="348">
        <f t="shared" si="211"/>
        <v>9.2114236149120199</v>
      </c>
      <c r="L485" s="349">
        <f t="shared" si="212"/>
        <v>1.4620210955222612</v>
      </c>
      <c r="M485" s="337">
        <f t="shared" si="196"/>
        <v>1.0154831013384713</v>
      </c>
      <c r="N485" s="340">
        <f t="shared" si="197"/>
        <v>0.1748481264303155</v>
      </c>
      <c r="O485" s="341">
        <f t="shared" si="198"/>
        <v>0.99919858408364182</v>
      </c>
      <c r="P485" s="342">
        <f t="shared" si="199"/>
        <v>7.3064834408209337E-2</v>
      </c>
      <c r="Q485" s="343">
        <f t="shared" si="200"/>
        <v>8.4877747754642685E-2</v>
      </c>
      <c r="R485" s="344">
        <f t="shared" si="201"/>
        <v>-103.70206513863947</v>
      </c>
      <c r="S485" s="346">
        <f t="shared" si="202"/>
        <v>76.297934861360531</v>
      </c>
      <c r="U485" s="319">
        <f t="shared" si="208"/>
        <v>1000000000</v>
      </c>
      <c r="V485" s="319">
        <f t="shared" si="209"/>
        <v>3467325456</v>
      </c>
      <c r="X485" s="345">
        <f t="shared" si="203"/>
        <v>38.992710885030718</v>
      </c>
      <c r="Y485" s="346">
        <f t="shared" si="204"/>
        <v>-16.243097477877743</v>
      </c>
      <c r="AA485" s="345">
        <f t="shared" si="205"/>
        <v>17.924917020818928</v>
      </c>
      <c r="AB485" s="346">
        <f t="shared" si="206"/>
        <v>-87.458967660761743</v>
      </c>
      <c r="AD485">
        <f t="shared" si="210"/>
        <v>0</v>
      </c>
      <c r="AE485">
        <f t="shared" si="213"/>
        <v>0</v>
      </c>
    </row>
    <row r="486" spans="1:31" x14ac:dyDescent="0.2">
      <c r="A486" s="347">
        <v>59227</v>
      </c>
      <c r="B486" s="364">
        <f t="shared" si="207"/>
        <v>59.226999999999997</v>
      </c>
      <c r="C486" s="337">
        <f t="shared" si="188"/>
        <v>146.34653133749731</v>
      </c>
      <c r="D486" s="338">
        <f t="shared" si="189"/>
        <v>1.5639631769218343</v>
      </c>
      <c r="E486" s="338">
        <f t="shared" si="190"/>
        <v>1.0062124769196343</v>
      </c>
      <c r="F486" s="339">
        <f t="shared" si="191"/>
        <v>0.11117989129566683</v>
      </c>
      <c r="G486" s="338">
        <f t="shared" si="192"/>
        <v>1</v>
      </c>
      <c r="H486" s="339">
        <f t="shared" si="193"/>
        <v>0</v>
      </c>
      <c r="I486" s="337">
        <f t="shared" si="194"/>
        <v>7868.6850222998291</v>
      </c>
      <c r="J486" s="340">
        <f t="shared" si="195"/>
        <v>1.5706692407570315</v>
      </c>
      <c r="K486" s="348">
        <f t="shared" si="211"/>
        <v>9.264449708369062</v>
      </c>
      <c r="L486" s="349">
        <f t="shared" si="212"/>
        <v>1.4626461283621619</v>
      </c>
      <c r="M486" s="337">
        <f t="shared" si="196"/>
        <v>1.0156626102013404</v>
      </c>
      <c r="N486" s="340">
        <f t="shared" si="197"/>
        <v>0.1758458110590771</v>
      </c>
      <c r="O486" s="341">
        <f t="shared" si="198"/>
        <v>0.99918928769001591</v>
      </c>
      <c r="P486" s="342">
        <f t="shared" si="199"/>
        <v>7.3491888572362593E-2</v>
      </c>
      <c r="Q486" s="343">
        <f t="shared" si="200"/>
        <v>3.3003343292944715E-2</v>
      </c>
      <c r="R486" s="344">
        <f t="shared" si="201"/>
        <v>-103.71361722451373</v>
      </c>
      <c r="S486" s="346">
        <f t="shared" si="202"/>
        <v>76.286382775486274</v>
      </c>
      <c r="U486" s="319">
        <f t="shared" si="208"/>
        <v>1000000000</v>
      </c>
      <c r="V486" s="319">
        <f t="shared" si="209"/>
        <v>3507837529</v>
      </c>
      <c r="X486" s="345">
        <f t="shared" si="203"/>
        <v>38.990584440023859</v>
      </c>
      <c r="Y486" s="346">
        <f t="shared" si="204"/>
        <v>-16.264491267418261</v>
      </c>
      <c r="AA486" s="345">
        <f t="shared" si="205"/>
        <v>17.87516906136409</v>
      </c>
      <c r="AB486" s="346">
        <f t="shared" si="206"/>
        <v>-87.449125957095475</v>
      </c>
      <c r="AD486">
        <f t="shared" si="210"/>
        <v>59227</v>
      </c>
      <c r="AE486">
        <f t="shared" si="213"/>
        <v>76.286382775486274</v>
      </c>
    </row>
    <row r="487" spans="1:31" x14ac:dyDescent="0.2">
      <c r="A487" s="347">
        <v>59570</v>
      </c>
      <c r="B487" s="364">
        <f t="shared" si="207"/>
        <v>59.57</v>
      </c>
      <c r="C487" s="337">
        <f t="shared" si="188"/>
        <v>147.19402527174799</v>
      </c>
      <c r="D487" s="338">
        <f t="shared" si="189"/>
        <v>1.5640025205189341</v>
      </c>
      <c r="E487" s="338">
        <f t="shared" si="190"/>
        <v>1.006284416287955</v>
      </c>
      <c r="F487" s="339">
        <f t="shared" si="191"/>
        <v>0.11181842647151331</v>
      </c>
      <c r="G487" s="338">
        <f t="shared" si="192"/>
        <v>1</v>
      </c>
      <c r="H487" s="339">
        <f t="shared" si="193"/>
        <v>0</v>
      </c>
      <c r="I487" s="337">
        <f t="shared" si="194"/>
        <v>7914.254761087609</v>
      </c>
      <c r="J487" s="340">
        <f t="shared" si="195"/>
        <v>1.5706699725097684</v>
      </c>
      <c r="K487" s="348">
        <f t="shared" si="211"/>
        <v>9.3174793799360778</v>
      </c>
      <c r="L487" s="349">
        <f t="shared" si="212"/>
        <v>1.463264046794637</v>
      </c>
      <c r="M487" s="337">
        <f t="shared" si="196"/>
        <v>1.0158431296711121</v>
      </c>
      <c r="N487" s="340">
        <f t="shared" si="197"/>
        <v>0.17684314209500332</v>
      </c>
      <c r="O487" s="341">
        <f t="shared" si="198"/>
        <v>0.99917993887170975</v>
      </c>
      <c r="P487" s="342">
        <f t="shared" si="199"/>
        <v>7.3918967996680504E-2</v>
      </c>
      <c r="Q487" s="343">
        <f t="shared" si="200"/>
        <v>-1.8574093690309941E-2</v>
      </c>
      <c r="R487" s="344">
        <f t="shared" si="201"/>
        <v>-103.72553659169097</v>
      </c>
      <c r="S487" s="346">
        <f t="shared" si="202"/>
        <v>76.274463408309032</v>
      </c>
      <c r="U487" s="319">
        <f t="shared" si="208"/>
        <v>59570</v>
      </c>
      <c r="V487" s="319">
        <f t="shared" si="209"/>
        <v>3548584900</v>
      </c>
      <c r="X487" s="345">
        <f t="shared" si="203"/>
        <v>38.98845972894928</v>
      </c>
      <c r="Y487" s="346">
        <f t="shared" si="204"/>
        <v>-16.286271934658448</v>
      </c>
      <c r="AA487" s="345">
        <f t="shared" si="205"/>
        <v>17.825716335455411</v>
      </c>
      <c r="AB487" s="346">
        <f t="shared" si="206"/>
        <v>-87.439264657032538</v>
      </c>
      <c r="AD487">
        <f t="shared" si="210"/>
        <v>0</v>
      </c>
      <c r="AE487">
        <f t="shared" si="213"/>
        <v>0</v>
      </c>
    </row>
    <row r="488" spans="1:31" x14ac:dyDescent="0.2">
      <c r="A488" s="347">
        <v>59913</v>
      </c>
      <c r="B488" s="364">
        <f t="shared" si="207"/>
        <v>59.912999999999997</v>
      </c>
      <c r="C488" s="337">
        <f t="shared" si="188"/>
        <v>148.04151943123432</v>
      </c>
      <c r="D488" s="338">
        <f t="shared" si="189"/>
        <v>1.5640414136550489</v>
      </c>
      <c r="E488" s="338">
        <f t="shared" si="190"/>
        <v>1.0063567658870172</v>
      </c>
      <c r="F488" s="339">
        <f t="shared" si="191"/>
        <v>0.11245687009573835</v>
      </c>
      <c r="G488" s="338">
        <f t="shared" si="192"/>
        <v>1</v>
      </c>
      <c r="H488" s="339">
        <f t="shared" si="193"/>
        <v>0</v>
      </c>
      <c r="I488" s="337">
        <f t="shared" si="194"/>
        <v>7959.8244998795781</v>
      </c>
      <c r="J488" s="340">
        <f t="shared" si="195"/>
        <v>1.5706706958839833</v>
      </c>
      <c r="K488" s="348">
        <f t="shared" si="211"/>
        <v>9.3705125688652728</v>
      </c>
      <c r="L488" s="349">
        <f t="shared" si="212"/>
        <v>1.463874971137491</v>
      </c>
      <c r="M488" s="337">
        <f t="shared" si="196"/>
        <v>1.016024659209116</v>
      </c>
      <c r="N488" s="340">
        <f t="shared" si="197"/>
        <v>0.17784011774306729</v>
      </c>
      <c r="O488" s="341">
        <f t="shared" si="198"/>
        <v>0.99917053765603903</v>
      </c>
      <c r="P488" s="342">
        <f t="shared" si="199"/>
        <v>7.4346072826977916E-2</v>
      </c>
      <c r="Q488" s="343">
        <f t="shared" si="200"/>
        <v>-6.9858128596638924E-2</v>
      </c>
      <c r="R488" s="344">
        <f t="shared" si="201"/>
        <v>-103.73781674007056</v>
      </c>
      <c r="S488" s="346">
        <f t="shared" si="202"/>
        <v>76.262183259929444</v>
      </c>
      <c r="U488" s="319">
        <f t="shared" si="208"/>
        <v>59913</v>
      </c>
      <c r="V488" s="319">
        <f t="shared" si="209"/>
        <v>3589567569</v>
      </c>
      <c r="X488" s="345">
        <f t="shared" si="203"/>
        <v>38.986336532410121</v>
      </c>
      <c r="Y488" s="346">
        <f t="shared" si="204"/>
        <v>-16.308432491437337</v>
      </c>
      <c r="AA488" s="345">
        <f t="shared" si="205"/>
        <v>17.776555497088253</v>
      </c>
      <c r="AB488" s="346">
        <f t="shared" si="206"/>
        <v>-87.429384248633212</v>
      </c>
      <c r="AD488">
        <f t="shared" si="210"/>
        <v>0</v>
      </c>
      <c r="AE488">
        <f t="shared" si="213"/>
        <v>0</v>
      </c>
    </row>
    <row r="489" spans="1:31" x14ac:dyDescent="0.2">
      <c r="A489" s="347">
        <v>60256</v>
      </c>
      <c r="B489" s="364">
        <f t="shared" si="207"/>
        <v>60.256</v>
      </c>
      <c r="C489" s="337">
        <f t="shared" si="188"/>
        <v>148.88901381211014</v>
      </c>
      <c r="D489" s="338">
        <f t="shared" si="189"/>
        <v>1.5640798640222959</v>
      </c>
      <c r="E489" s="338">
        <f t="shared" si="190"/>
        <v>1.0064295256283495</v>
      </c>
      <c r="F489" s="339">
        <f t="shared" si="191"/>
        <v>0.11309522166767018</v>
      </c>
      <c r="G489" s="338">
        <f t="shared" si="192"/>
        <v>1</v>
      </c>
      <c r="H489" s="339">
        <f t="shared" si="193"/>
        <v>0</v>
      </c>
      <c r="I489" s="337">
        <f t="shared" si="194"/>
        <v>8005.3942386756644</v>
      </c>
      <c r="J489" s="340">
        <f t="shared" si="195"/>
        <v>1.5706714110227578</v>
      </c>
      <c r="K489" s="348">
        <f t="shared" si="211"/>
        <v>9.4235492157723542</v>
      </c>
      <c r="L489" s="349">
        <f t="shared" si="212"/>
        <v>1.4644790190210413</v>
      </c>
      <c r="M489" s="337">
        <f t="shared" si="196"/>
        <v>1.0162071982740528</v>
      </c>
      <c r="N489" s="340">
        <f t="shared" si="197"/>
        <v>0.17883673621234711</v>
      </c>
      <c r="O489" s="341">
        <f t="shared" si="198"/>
        <v>0.9991610840704781</v>
      </c>
      <c r="P489" s="342">
        <f t="shared" si="199"/>
        <v>7.4773203209061181E-2</v>
      </c>
      <c r="Q489" s="343">
        <f t="shared" si="200"/>
        <v>-0.12085226311963958</v>
      </c>
      <c r="R489" s="344">
        <f t="shared" si="201"/>
        <v>-103.75045131328375</v>
      </c>
      <c r="S489" s="346">
        <f t="shared" si="202"/>
        <v>76.249548686716253</v>
      </c>
      <c r="U489" s="319">
        <f t="shared" si="208"/>
        <v>60256</v>
      </c>
      <c r="V489" s="319">
        <f t="shared" si="209"/>
        <v>3630785536</v>
      </c>
      <c r="X489" s="345">
        <f t="shared" si="203"/>
        <v>38.984214637463062</v>
      </c>
      <c r="Y489" s="346">
        <f t="shared" si="204"/>
        <v>-16.330966103619907</v>
      </c>
      <c r="AA489" s="345">
        <f t="shared" si="205"/>
        <v>17.727683257512304</v>
      </c>
      <c r="AB489" s="346">
        <f t="shared" si="206"/>
        <v>-87.419485209663833</v>
      </c>
      <c r="AD489">
        <f t="shared" si="210"/>
        <v>0</v>
      </c>
      <c r="AE489">
        <f t="shared" si="213"/>
        <v>0</v>
      </c>
    </row>
    <row r="490" spans="1:31" x14ac:dyDescent="0.2">
      <c r="A490" s="347">
        <v>60607</v>
      </c>
      <c r="B490" s="364">
        <f t="shared" si="207"/>
        <v>60.606999999999999</v>
      </c>
      <c r="C490" s="337">
        <f t="shared" si="188"/>
        <v>149.75627505104981</v>
      </c>
      <c r="D490" s="338">
        <f t="shared" si="189"/>
        <v>1.5641187606538716</v>
      </c>
      <c r="E490" s="338">
        <f t="shared" si="190"/>
        <v>1.0065044068999136</v>
      </c>
      <c r="F490" s="339">
        <f t="shared" si="191"/>
        <v>0.11374836608629592</v>
      </c>
      <c r="G490" s="338">
        <f t="shared" si="192"/>
        <v>1</v>
      </c>
      <c r="H490" s="339">
        <f t="shared" si="193"/>
        <v>0</v>
      </c>
      <c r="I490" s="337">
        <f t="shared" si="194"/>
        <v>8052.0268285265793</v>
      </c>
      <c r="J490" s="340">
        <f t="shared" si="195"/>
        <v>1.5706721344612313</v>
      </c>
      <c r="K490" s="348">
        <f t="shared" si="211"/>
        <v>9.4778263883534191</v>
      </c>
      <c r="L490" s="349">
        <f t="shared" si="212"/>
        <v>1.4650901565620194</v>
      </c>
      <c r="M490" s="337">
        <f t="shared" si="196"/>
        <v>1.0163950393626486</v>
      </c>
      <c r="N490" s="340">
        <f t="shared" si="197"/>
        <v>0.17985622779112517</v>
      </c>
      <c r="O490" s="341">
        <f t="shared" si="198"/>
        <v>0.9991513558056403</v>
      </c>
      <c r="P490" s="342">
        <f t="shared" si="199"/>
        <v>7.5210322420587006E-2</v>
      </c>
      <c r="Q490" s="343">
        <f t="shared" si="200"/>
        <v>-0.1727392317694631</v>
      </c>
      <c r="R490" s="344">
        <f t="shared" si="201"/>
        <v>-103.76374100637454</v>
      </c>
      <c r="S490" s="346">
        <f t="shared" si="202"/>
        <v>76.236258993625455</v>
      </c>
      <c r="U490" s="319">
        <f t="shared" si="208"/>
        <v>60607</v>
      </c>
      <c r="V490" s="319">
        <f t="shared" si="209"/>
        <v>3673208449</v>
      </c>
      <c r="X490" s="345">
        <f t="shared" si="203"/>
        <v>38.982044384118922</v>
      </c>
      <c r="Y490" s="346">
        <f t="shared" si="204"/>
        <v>-16.354404516531023</v>
      </c>
      <c r="AA490" s="345">
        <f t="shared" si="205"/>
        <v>17.677966542206622</v>
      </c>
      <c r="AB490" s="346">
        <f t="shared" si="206"/>
        <v>-87.409336489843525</v>
      </c>
      <c r="AD490">
        <f t="shared" si="210"/>
        <v>0</v>
      </c>
      <c r="AE490">
        <f t="shared" si="213"/>
        <v>0</v>
      </c>
    </row>
    <row r="491" spans="1:31" x14ac:dyDescent="0.2">
      <c r="A491" s="347">
        <v>60958</v>
      </c>
      <c r="B491" s="364">
        <f t="shared" si="207"/>
        <v>60.957999999999998</v>
      </c>
      <c r="C491" s="337">
        <f t="shared" si="188"/>
        <v>150.62353651395375</v>
      </c>
      <c r="D491" s="338">
        <f t="shared" si="189"/>
        <v>1.5641572093668012</v>
      </c>
      <c r="E491" s="338">
        <f t="shared" si="190"/>
        <v>1.0065797174798834</v>
      </c>
      <c r="F491" s="339">
        <f t="shared" si="191"/>
        <v>0.11440141304916947</v>
      </c>
      <c r="G491" s="338">
        <f t="shared" si="192"/>
        <v>1</v>
      </c>
      <c r="H491" s="339">
        <f t="shared" si="193"/>
        <v>0</v>
      </c>
      <c r="I491" s="337">
        <f t="shared" si="194"/>
        <v>8098.6594183816587</v>
      </c>
      <c r="J491" s="340">
        <f t="shared" si="195"/>
        <v>1.5706728495684965</v>
      </c>
      <c r="K491" s="348">
        <f t="shared" si="211"/>
        <v>9.5321070604855205</v>
      </c>
      <c r="L491" s="349">
        <f t="shared" si="212"/>
        <v>1.4656943340697151</v>
      </c>
      <c r="M491" s="337">
        <f t="shared" si="196"/>
        <v>1.0165839364636842</v>
      </c>
      <c r="N491" s="340">
        <f t="shared" si="197"/>
        <v>0.1808753415540329</v>
      </c>
      <c r="O491" s="341">
        <f t="shared" si="198"/>
        <v>0.99914157275823701</v>
      </c>
      <c r="P491" s="342">
        <f t="shared" si="199"/>
        <v>7.5647468698626694E-2</v>
      </c>
      <c r="Q491" s="343">
        <f t="shared" si="200"/>
        <v>-0.22432984085486096</v>
      </c>
      <c r="R491" s="344">
        <f t="shared" si="201"/>
        <v>-103.77738882615256</v>
      </c>
      <c r="S491" s="346">
        <f t="shared" si="202"/>
        <v>76.22261117384744</v>
      </c>
      <c r="U491" s="319">
        <f t="shared" si="208"/>
        <v>60958</v>
      </c>
      <c r="V491" s="319">
        <f t="shared" si="209"/>
        <v>3715877764</v>
      </c>
      <c r="X491" s="345">
        <f t="shared" si="203"/>
        <v>38.979875062387045</v>
      </c>
      <c r="Y491" s="346">
        <f t="shared" si="204"/>
        <v>-16.37821958537705</v>
      </c>
      <c r="AA491" s="345">
        <f t="shared" si="205"/>
        <v>17.628545254853101</v>
      </c>
      <c r="AB491" s="346">
        <f t="shared" si="206"/>
        <v>-87.399169240775521</v>
      </c>
      <c r="AD491">
        <f t="shared" si="210"/>
        <v>0</v>
      </c>
      <c r="AE491">
        <f t="shared" si="213"/>
        <v>0</v>
      </c>
    </row>
    <row r="492" spans="1:31" x14ac:dyDescent="0.2">
      <c r="A492" s="347">
        <v>61309</v>
      </c>
      <c r="B492" s="364">
        <f t="shared" si="207"/>
        <v>61.308999999999997</v>
      </c>
      <c r="C492" s="337">
        <f t="shared" si="188"/>
        <v>151.49079819697556</v>
      </c>
      <c r="D492" s="338">
        <f t="shared" si="189"/>
        <v>1.5641952178537679</v>
      </c>
      <c r="E492" s="338">
        <f t="shared" si="190"/>
        <v>1.0066554572719058</v>
      </c>
      <c r="F492" s="339">
        <f t="shared" si="191"/>
        <v>0.11505436202121609</v>
      </c>
      <c r="G492" s="338">
        <f t="shared" si="192"/>
        <v>1</v>
      </c>
      <c r="H492" s="339">
        <f t="shared" si="193"/>
        <v>0</v>
      </c>
      <c r="I492" s="337">
        <f t="shared" si="194"/>
        <v>8145.2920082408327</v>
      </c>
      <c r="J492" s="340">
        <f t="shared" si="195"/>
        <v>1.5706735564876442</v>
      </c>
      <c r="K492" s="348">
        <f t="shared" si="211"/>
        <v>9.5863911727225215</v>
      </c>
      <c r="L492" s="349">
        <f t="shared" si="212"/>
        <v>1.4662916693353714</v>
      </c>
      <c r="M492" s="337">
        <f t="shared" si="196"/>
        <v>1.0167738889885991</v>
      </c>
      <c r="N492" s="340">
        <f t="shared" si="197"/>
        <v>0.18189407559534701</v>
      </c>
      <c r="O492" s="341">
        <f t="shared" si="198"/>
        <v>0.99913173495822782</v>
      </c>
      <c r="P492" s="342">
        <f t="shared" si="199"/>
        <v>7.6084642199400643E-2</v>
      </c>
      <c r="Q492" s="343">
        <f t="shared" si="200"/>
        <v>-0.27562764539229112</v>
      </c>
      <c r="R492" s="344">
        <f t="shared" si="201"/>
        <v>-103.79138840305188</v>
      </c>
      <c r="S492" s="346">
        <f t="shared" si="202"/>
        <v>76.208611596948117</v>
      </c>
      <c r="U492" s="319">
        <f t="shared" si="208"/>
        <v>61309</v>
      </c>
      <c r="V492" s="319">
        <f t="shared" si="209"/>
        <v>3758793481</v>
      </c>
      <c r="X492" s="345">
        <f t="shared" si="203"/>
        <v>38.97770646369132</v>
      </c>
      <c r="Y492" s="346">
        <f t="shared" si="204"/>
        <v>-16.402404460225476</v>
      </c>
      <c r="AA492" s="345">
        <f t="shared" si="205"/>
        <v>17.5794160490114</v>
      </c>
      <c r="AB492" s="346">
        <f t="shared" si="206"/>
        <v>-87.388983942826385</v>
      </c>
      <c r="AD492">
        <f t="shared" si="210"/>
        <v>0</v>
      </c>
      <c r="AE492">
        <f t="shared" si="213"/>
        <v>0</v>
      </c>
    </row>
    <row r="493" spans="1:31" x14ac:dyDescent="0.2">
      <c r="A493" s="347">
        <v>61660</v>
      </c>
      <c r="B493" s="364">
        <f t="shared" si="207"/>
        <v>61.66</v>
      </c>
      <c r="C493" s="337">
        <f t="shared" si="188"/>
        <v>152.35806009635627</v>
      </c>
      <c r="D493" s="338">
        <f t="shared" si="189"/>
        <v>1.5642327936323042</v>
      </c>
      <c r="E493" s="338">
        <f t="shared" si="190"/>
        <v>1.0067316261791077</v>
      </c>
      <c r="F493" s="339">
        <f t="shared" si="191"/>
        <v>0.11570721246785581</v>
      </c>
      <c r="G493" s="338">
        <f t="shared" si="192"/>
        <v>1</v>
      </c>
      <c r="H493" s="339">
        <f t="shared" si="193"/>
        <v>0</v>
      </c>
      <c r="I493" s="337">
        <f t="shared" si="194"/>
        <v>8191.9245981040303</v>
      </c>
      <c r="J493" s="340">
        <f t="shared" si="195"/>
        <v>1.5706742553585074</v>
      </c>
      <c r="K493" s="348">
        <f t="shared" si="211"/>
        <v>9.640678666953459</v>
      </c>
      <c r="L493" s="349">
        <f t="shared" si="212"/>
        <v>1.4668822775168444</v>
      </c>
      <c r="M493" s="337">
        <f t="shared" si="196"/>
        <v>1.016964896345985</v>
      </c>
      <c r="N493" s="340">
        <f t="shared" si="197"/>
        <v>0.18291242801391674</v>
      </c>
      <c r="O493" s="341">
        <f t="shared" si="198"/>
        <v>0.99912184243574687</v>
      </c>
      <c r="P493" s="342">
        <f t="shared" si="199"/>
        <v>7.6521843079119606E-2</v>
      </c>
      <c r="Q493" s="343">
        <f t="shared" si="200"/>
        <v>-0.32663613695849592</v>
      </c>
      <c r="R493" s="344">
        <f t="shared" si="201"/>
        <v>-103.80573350839948</v>
      </c>
      <c r="S493" s="346">
        <f t="shared" si="202"/>
        <v>76.194266491600516</v>
      </c>
      <c r="U493" s="319">
        <f t="shared" si="208"/>
        <v>61660</v>
      </c>
      <c r="V493" s="319">
        <f t="shared" si="209"/>
        <v>3801955600</v>
      </c>
      <c r="X493" s="345">
        <f t="shared" si="203"/>
        <v>38.975538385635446</v>
      </c>
      <c r="Y493" s="346">
        <f t="shared" si="204"/>
        <v>-16.42695244210109</v>
      </c>
      <c r="AA493" s="345">
        <f t="shared" si="205"/>
        <v>17.530575635501066</v>
      </c>
      <c r="AB493" s="346">
        <f t="shared" si="206"/>
        <v>-87.378781066298401</v>
      </c>
      <c r="AD493">
        <f t="shared" si="210"/>
        <v>0</v>
      </c>
      <c r="AE493">
        <f t="shared" si="213"/>
        <v>0</v>
      </c>
    </row>
    <row r="494" spans="1:31" x14ac:dyDescent="0.2">
      <c r="A494" s="347">
        <v>62019</v>
      </c>
      <c r="B494" s="364">
        <f t="shared" si="207"/>
        <v>62.018999999999998</v>
      </c>
      <c r="C494" s="337">
        <f t="shared" si="188"/>
        <v>153.24508886869759</v>
      </c>
      <c r="D494" s="338">
        <f t="shared" si="189"/>
        <v>1.5642707858817642</v>
      </c>
      <c r="E494" s="338">
        <f t="shared" si="190"/>
        <v>1.0068099749255039</v>
      </c>
      <c r="F494" s="339">
        <f t="shared" si="191"/>
        <v>0.11637484022069239</v>
      </c>
      <c r="G494" s="338">
        <f t="shared" si="192"/>
        <v>1</v>
      </c>
      <c r="H494" s="339">
        <f t="shared" si="193"/>
        <v>0</v>
      </c>
      <c r="I494" s="337">
        <f t="shared" si="194"/>
        <v>8239.620039022333</v>
      </c>
      <c r="J494" s="340">
        <f t="shared" si="195"/>
        <v>1.5706749619749512</v>
      </c>
      <c r="K494" s="348">
        <f t="shared" si="211"/>
        <v>9.6962069222773195</v>
      </c>
      <c r="L494" s="349">
        <f t="shared" si="212"/>
        <v>1.4674795053823553</v>
      </c>
      <c r="M494" s="337">
        <f t="shared" si="196"/>
        <v>1.0171613476971095</v>
      </c>
      <c r="N494" s="340">
        <f t="shared" si="197"/>
        <v>0.18395359399845237</v>
      </c>
      <c r="O494" s="341">
        <f t="shared" si="198"/>
        <v>0.99911166786672101</v>
      </c>
      <c r="P494" s="342">
        <f t="shared" si="199"/>
        <v>7.696903713615201E-2</v>
      </c>
      <c r="Q494" s="343">
        <f t="shared" si="200"/>
        <v>-0.37851151044741405</v>
      </c>
      <c r="R494" s="344">
        <f t="shared" si="201"/>
        <v>-103.82075665025793</v>
      </c>
      <c r="S494" s="346">
        <f t="shared" si="202"/>
        <v>76.179243349742066</v>
      </c>
      <c r="U494" s="319">
        <f t="shared" si="208"/>
        <v>62019</v>
      </c>
      <c r="V494" s="319">
        <f t="shared" si="209"/>
        <v>3846356361</v>
      </c>
      <c r="X494" s="345">
        <f t="shared" si="203"/>
        <v>38.973321226572544</v>
      </c>
      <c r="Y494" s="346">
        <f t="shared" si="204"/>
        <v>-16.452428708855265</v>
      </c>
      <c r="AA494" s="345">
        <f t="shared" si="205"/>
        <v>17.480917421075048</v>
      </c>
      <c r="AB494" s="346">
        <f t="shared" si="206"/>
        <v>-87.368327941402669</v>
      </c>
      <c r="AD494">
        <f t="shared" si="210"/>
        <v>0</v>
      </c>
      <c r="AE494">
        <f t="shared" si="213"/>
        <v>0</v>
      </c>
    </row>
    <row r="495" spans="1:31" x14ac:dyDescent="0.2">
      <c r="A495" s="347">
        <v>62378</v>
      </c>
      <c r="B495" s="364">
        <f t="shared" si="207"/>
        <v>62.378</v>
      </c>
      <c r="C495" s="337">
        <f t="shared" si="188"/>
        <v>154.13211785968863</v>
      </c>
      <c r="D495" s="338">
        <f t="shared" si="189"/>
        <v>1.5643083408411509</v>
      </c>
      <c r="E495" s="338">
        <f t="shared" si="190"/>
        <v>1.0068887723641495</v>
      </c>
      <c r="F495" s="339">
        <f t="shared" si="191"/>
        <v>0.11704236377615101</v>
      </c>
      <c r="G495" s="338">
        <f t="shared" si="192"/>
        <v>1</v>
      </c>
      <c r="H495" s="339">
        <f t="shared" si="193"/>
        <v>0</v>
      </c>
      <c r="I495" s="337">
        <f t="shared" si="194"/>
        <v>8287.315479944702</v>
      </c>
      <c r="J495" s="340">
        <f t="shared" si="195"/>
        <v>1.5706756604579089</v>
      </c>
      <c r="K495" s="348">
        <f t="shared" si="211"/>
        <v>9.7517385966682522</v>
      </c>
      <c r="L495" s="349">
        <f t="shared" si="212"/>
        <v>1.4680699315794394</v>
      </c>
      <c r="M495" s="337">
        <f t="shared" si="196"/>
        <v>1.0173589012516675</v>
      </c>
      <c r="N495" s="340">
        <f t="shared" si="197"/>
        <v>0.18499435675787917</v>
      </c>
      <c r="O495" s="341">
        <f t="shared" si="198"/>
        <v>0.9991014361166487</v>
      </c>
      <c r="P495" s="342">
        <f t="shared" si="199"/>
        <v>7.741626016491418E-2</v>
      </c>
      <c r="Q495" s="343">
        <f t="shared" si="200"/>
        <v>-0.43009142424645741</v>
      </c>
      <c r="R495" s="344">
        <f t="shared" si="201"/>
        <v>-103.83612850505212</v>
      </c>
      <c r="S495" s="346">
        <f t="shared" si="202"/>
        <v>76.163871494947884</v>
      </c>
      <c r="U495" s="319">
        <f t="shared" si="208"/>
        <v>62378</v>
      </c>
      <c r="V495" s="319">
        <f t="shared" si="209"/>
        <v>3891014884</v>
      </c>
      <c r="X495" s="345">
        <f t="shared" si="203"/>
        <v>38.971104202786819</v>
      </c>
      <c r="Y495" s="346">
        <f t="shared" si="204"/>
        <v>-16.478271113392989</v>
      </c>
      <c r="AA495" s="345">
        <f t="shared" si="205"/>
        <v>17.431554531061732</v>
      </c>
      <c r="AB495" s="346">
        <f t="shared" si="206"/>
        <v>-87.357857391659124</v>
      </c>
      <c r="AD495">
        <f t="shared" si="210"/>
        <v>0</v>
      </c>
      <c r="AE495">
        <f t="shared" si="213"/>
        <v>0</v>
      </c>
    </row>
    <row r="496" spans="1:31" x14ac:dyDescent="0.2">
      <c r="A496" s="347">
        <v>62737</v>
      </c>
      <c r="B496" s="364">
        <f t="shared" si="207"/>
        <v>62.737000000000002</v>
      </c>
      <c r="C496" s="337">
        <f t="shared" si="188"/>
        <v>155.01914706557596</v>
      </c>
      <c r="D496" s="338">
        <f t="shared" si="189"/>
        <v>1.5643454660169602</v>
      </c>
      <c r="E496" s="338">
        <f t="shared" si="190"/>
        <v>1.0069680183897112</v>
      </c>
      <c r="F496" s="339">
        <f t="shared" si="191"/>
        <v>0.11770978256388227</v>
      </c>
      <c r="G496" s="338">
        <f t="shared" si="192"/>
        <v>1</v>
      </c>
      <c r="H496" s="339">
        <f t="shared" si="193"/>
        <v>0</v>
      </c>
      <c r="I496" s="337">
        <f t="shared" si="194"/>
        <v>8335.0109208710692</v>
      </c>
      <c r="J496" s="340">
        <f t="shared" si="195"/>
        <v>1.5706763509470072</v>
      </c>
      <c r="K496" s="348">
        <f t="shared" si="211"/>
        <v>9.8072736320469627</v>
      </c>
      <c r="L496" s="349">
        <f t="shared" si="212"/>
        <v>1.4686536712390594</v>
      </c>
      <c r="M496" s="337">
        <f t="shared" si="196"/>
        <v>1.0175575563676975</v>
      </c>
      <c r="N496" s="340">
        <f t="shared" si="197"/>
        <v>0.18603471427302715</v>
      </c>
      <c r="O496" s="341">
        <f t="shared" si="198"/>
        <v>0.99909114721833836</v>
      </c>
      <c r="P496" s="342">
        <f t="shared" si="199"/>
        <v>7.7863512332511806E-2</v>
      </c>
      <c r="Q496" s="343">
        <f t="shared" si="200"/>
        <v>-0.48137941787367922</v>
      </c>
      <c r="R496" s="344">
        <f t="shared" si="201"/>
        <v>-103.85184284091754</v>
      </c>
      <c r="S496" s="346">
        <f t="shared" si="202"/>
        <v>76.148157159082459</v>
      </c>
      <c r="U496" s="319">
        <f t="shared" si="208"/>
        <v>62737</v>
      </c>
      <c r="V496" s="319">
        <f t="shared" si="209"/>
        <v>3935931169</v>
      </c>
      <c r="X496" s="345">
        <f t="shared" si="203"/>
        <v>38.968887116476353</v>
      </c>
      <c r="Y496" s="346">
        <f t="shared" si="204"/>
        <v>-16.504472951506138</v>
      </c>
      <c r="AA496" s="345">
        <f t="shared" si="205"/>
        <v>17.382483623744974</v>
      </c>
      <c r="AB496" s="346">
        <f t="shared" si="206"/>
        <v>-87.347369889411382</v>
      </c>
      <c r="AD496">
        <f t="shared" si="210"/>
        <v>0</v>
      </c>
      <c r="AE496">
        <f t="shared" si="213"/>
        <v>0</v>
      </c>
    </row>
    <row r="497" spans="1:31" x14ac:dyDescent="0.2">
      <c r="A497" s="347">
        <v>63096</v>
      </c>
      <c r="B497" s="364">
        <f t="shared" si="207"/>
        <v>63.095999999999997</v>
      </c>
      <c r="C497" s="337">
        <f t="shared" si="188"/>
        <v>155.90617648269168</v>
      </c>
      <c r="D497" s="338">
        <f t="shared" si="189"/>
        <v>1.5643821687448605</v>
      </c>
      <c r="E497" s="338">
        <f t="shared" si="190"/>
        <v>1.0070477128962887</v>
      </c>
      <c r="F497" s="339">
        <f t="shared" si="191"/>
        <v>0.11837709601408912</v>
      </c>
      <c r="G497" s="338">
        <f t="shared" si="192"/>
        <v>1</v>
      </c>
      <c r="H497" s="339">
        <f t="shared" si="193"/>
        <v>0</v>
      </c>
      <c r="I497" s="337">
        <f t="shared" si="194"/>
        <v>8382.7063618013653</v>
      </c>
      <c r="J497" s="340">
        <f t="shared" si="195"/>
        <v>1.5706770335786953</v>
      </c>
      <c r="K497" s="348">
        <f t="shared" si="211"/>
        <v>9.862811971638795</v>
      </c>
      <c r="L497" s="349">
        <f t="shared" si="212"/>
        <v>1.4692308369173923</v>
      </c>
      <c r="M497" s="337">
        <f t="shared" si="196"/>
        <v>1.0177573124001615</v>
      </c>
      <c r="N497" s="340">
        <f t="shared" si="197"/>
        <v>0.18707466452980726</v>
      </c>
      <c r="O497" s="341">
        <f t="shared" si="198"/>
        <v>0.99908080120478981</v>
      </c>
      <c r="P497" s="342">
        <f t="shared" si="199"/>
        <v>7.8310793806039822E-2</v>
      </c>
      <c r="Q497" s="343">
        <f t="shared" si="200"/>
        <v>-0.53237896779381944</v>
      </c>
      <c r="R497" s="344">
        <f t="shared" si="201"/>
        <v>-103.86789356380298</v>
      </c>
      <c r="S497" s="346">
        <f t="shared" si="202"/>
        <v>76.13210643619702</v>
      </c>
      <c r="U497" s="319">
        <f t="shared" si="208"/>
        <v>63096</v>
      </c>
      <c r="V497" s="319">
        <f t="shared" si="209"/>
        <v>3981105216</v>
      </c>
      <c r="X497" s="345">
        <f t="shared" si="203"/>
        <v>38.966669775744876</v>
      </c>
      <c r="Y497" s="346">
        <f t="shared" si="204"/>
        <v>-16.531027666619927</v>
      </c>
      <c r="AA497" s="345">
        <f t="shared" si="205"/>
        <v>17.333701414556305</v>
      </c>
      <c r="AB497" s="346">
        <f t="shared" si="206"/>
        <v>-87.336865897183074</v>
      </c>
      <c r="AD497">
        <f t="shared" si="210"/>
        <v>0</v>
      </c>
      <c r="AE497">
        <f t="shared" si="213"/>
        <v>0</v>
      </c>
    </row>
    <row r="498" spans="1:31" x14ac:dyDescent="0.2">
      <c r="A498" s="347">
        <v>63463.25</v>
      </c>
      <c r="B498" s="364">
        <f t="shared" si="207"/>
        <v>63.463250000000002</v>
      </c>
      <c r="C498" s="337">
        <f t="shared" si="188"/>
        <v>156.81359049539068</v>
      </c>
      <c r="D498" s="338">
        <f t="shared" si="189"/>
        <v>1.5644192852728611</v>
      </c>
      <c r="E498" s="338">
        <f t="shared" si="190"/>
        <v>1.0071297027704909</v>
      </c>
      <c r="F498" s="339">
        <f t="shared" si="191"/>
        <v>0.11905963507204217</v>
      </c>
      <c r="G498" s="338">
        <f t="shared" si="192"/>
        <v>1</v>
      </c>
      <c r="H498" s="339">
        <f t="shared" si="193"/>
        <v>0</v>
      </c>
      <c r="I498" s="337">
        <f t="shared" si="194"/>
        <v>8431.4978678823809</v>
      </c>
      <c r="J498" s="340">
        <f t="shared" si="195"/>
        <v>1.5706777239062979</v>
      </c>
      <c r="K498" s="348">
        <f t="shared" si="211"/>
        <v>9.9196299712384111</v>
      </c>
      <c r="L498" s="349">
        <f t="shared" si="212"/>
        <v>1.4698145785581831</v>
      </c>
      <c r="M498" s="337">
        <f t="shared" si="196"/>
        <v>1.0179627974071854</v>
      </c>
      <c r="N498" s="340">
        <f t="shared" si="197"/>
        <v>0.18813808986584057</v>
      </c>
      <c r="O498" s="341">
        <f t="shared" si="198"/>
        <v>0.99907015837014501</v>
      </c>
      <c r="P498" s="342">
        <f t="shared" si="199"/>
        <v>7.8768384530171348E-2</v>
      </c>
      <c r="Q498" s="343">
        <f t="shared" si="200"/>
        <v>-0.58425561042535978</v>
      </c>
      <c r="R498" s="344">
        <f t="shared" si="201"/>
        <v>-103.88465499818703</v>
      </c>
      <c r="S498" s="346">
        <f t="shared" si="202"/>
        <v>76.115345001812969</v>
      </c>
      <c r="U498" s="319">
        <f t="shared" si="208"/>
        <v>63463.25</v>
      </c>
      <c r="V498" s="319">
        <f t="shared" si="209"/>
        <v>4027584100.5625</v>
      </c>
      <c r="X498" s="345">
        <f t="shared" si="203"/>
        <v>38.964401022057011</v>
      </c>
      <c r="Y498" s="346">
        <f t="shared" si="204"/>
        <v>-16.558551070748127</v>
      </c>
      <c r="AA498" s="345">
        <f t="shared" si="205"/>
        <v>17.284093525612636</v>
      </c>
      <c r="AB498" s="346">
        <f t="shared" si="206"/>
        <v>-87.326103927438922</v>
      </c>
      <c r="AD498">
        <f t="shared" si="210"/>
        <v>0</v>
      </c>
      <c r="AE498">
        <f t="shared" si="213"/>
        <v>0</v>
      </c>
    </row>
    <row r="499" spans="1:31" x14ac:dyDescent="0.2">
      <c r="A499" s="347">
        <v>63830.5</v>
      </c>
      <c r="B499" s="364">
        <f t="shared" si="207"/>
        <v>63.830500000000001</v>
      </c>
      <c r="C499" s="337">
        <f t="shared" si="188"/>
        <v>157.72100472163609</v>
      </c>
      <c r="D499" s="338">
        <f t="shared" si="189"/>
        <v>1.5644559747168263</v>
      </c>
      <c r="E499" s="338">
        <f t="shared" si="190"/>
        <v>1.007212161749186</v>
      </c>
      <c r="F499" s="339">
        <f t="shared" si="191"/>
        <v>0.11974206269092923</v>
      </c>
      <c r="G499" s="338">
        <f t="shared" si="192"/>
        <v>1</v>
      </c>
      <c r="H499" s="339">
        <f t="shared" si="193"/>
        <v>0</v>
      </c>
      <c r="I499" s="337">
        <f t="shared" si="194"/>
        <v>8480.2893739673691</v>
      </c>
      <c r="J499" s="340">
        <f t="shared" si="195"/>
        <v>1.5706784062902748</v>
      </c>
      <c r="K499" s="348">
        <f t="shared" si="211"/>
        <v>9.9764513124925465</v>
      </c>
      <c r="L499" s="349">
        <f t="shared" si="212"/>
        <v>1.4703916709385689</v>
      </c>
      <c r="M499" s="337">
        <f t="shared" si="196"/>
        <v>1.0181694331358853</v>
      </c>
      <c r="N499" s="340">
        <f t="shared" si="197"/>
        <v>0.18920108476290889</v>
      </c>
      <c r="O499" s="341">
        <f t="shared" si="198"/>
        <v>0.99905945583549827</v>
      </c>
      <c r="P499" s="342">
        <f t="shared" si="199"/>
        <v>7.92260062763495E-2</v>
      </c>
      <c r="Q499" s="343">
        <f t="shared" si="200"/>
        <v>-0.6358375639877013</v>
      </c>
      <c r="R499" s="344">
        <f t="shared" si="201"/>
        <v>-103.90175598196508</v>
      </c>
      <c r="S499" s="346">
        <f t="shared" si="202"/>
        <v>76.098244018034919</v>
      </c>
      <c r="U499" s="319">
        <f t="shared" si="208"/>
        <v>63830.5</v>
      </c>
      <c r="V499" s="319">
        <f t="shared" si="209"/>
        <v>4074332730.25</v>
      </c>
      <c r="X499" s="345">
        <f t="shared" si="203"/>
        <v>38.962131613956473</v>
      </c>
      <c r="Y499" s="346">
        <f t="shared" si="204"/>
        <v>-16.586430331962561</v>
      </c>
      <c r="AA499" s="345">
        <f t="shared" si="205"/>
        <v>17.23478098015083</v>
      </c>
      <c r="AB499" s="346">
        <f t="shared" si="206"/>
        <v>-87.315325650002507</v>
      </c>
      <c r="AD499">
        <f t="shared" si="210"/>
        <v>0</v>
      </c>
      <c r="AE499">
        <f t="shared" si="213"/>
        <v>0</v>
      </c>
    </row>
    <row r="500" spans="1:31" x14ac:dyDescent="0.2">
      <c r="A500" s="347">
        <v>64197.75</v>
      </c>
      <c r="B500" s="364">
        <f t="shared" si="207"/>
        <v>64.197749999999999</v>
      </c>
      <c r="C500" s="337">
        <f t="shared" si="188"/>
        <v>158.62841915776318</v>
      </c>
      <c r="D500" s="338">
        <f t="shared" si="189"/>
        <v>1.564492244405902</v>
      </c>
      <c r="E500" s="338">
        <f t="shared" si="190"/>
        <v>1.0072950897171693</v>
      </c>
      <c r="F500" s="339">
        <f t="shared" si="191"/>
        <v>0.12042437826257324</v>
      </c>
      <c r="G500" s="338">
        <f t="shared" si="192"/>
        <v>1</v>
      </c>
      <c r="H500" s="339">
        <f t="shared" si="193"/>
        <v>0</v>
      </c>
      <c r="I500" s="337">
        <f t="shared" si="194"/>
        <v>8529.0808800562627</v>
      </c>
      <c r="J500" s="340">
        <f t="shared" si="195"/>
        <v>1.5706790808669526</v>
      </c>
      <c r="K500" s="348">
        <f t="shared" si="211"/>
        <v>10.033275938626936</v>
      </c>
      <c r="L500" s="349">
        <f t="shared" si="212"/>
        <v>1.4709622266474427</v>
      </c>
      <c r="M500" s="337">
        <f t="shared" si="196"/>
        <v>1.0183772188857931</v>
      </c>
      <c r="N500" s="340">
        <f t="shared" si="197"/>
        <v>0.19026364708148405</v>
      </c>
      <c r="O500" s="341">
        <f t="shared" si="198"/>
        <v>0.99904869363679805</v>
      </c>
      <c r="P500" s="342">
        <f t="shared" si="199"/>
        <v>7.9683659223420314E-2</v>
      </c>
      <c r="Q500" s="343">
        <f t="shared" si="200"/>
        <v>-0.68712835493643587</v>
      </c>
      <c r="R500" s="344">
        <f t="shared" si="201"/>
        <v>-103.91919041451595</v>
      </c>
      <c r="S500" s="346">
        <f t="shared" si="202"/>
        <v>76.080809585484047</v>
      </c>
      <c r="U500" s="319">
        <f t="shared" si="208"/>
        <v>64197.75</v>
      </c>
      <c r="V500" s="319">
        <f t="shared" si="209"/>
        <v>4121351105.0625</v>
      </c>
      <c r="X500" s="345">
        <f t="shared" si="203"/>
        <v>38.95986136394275</v>
      </c>
      <c r="Y500" s="346">
        <f t="shared" si="204"/>
        <v>-16.614658884619846</v>
      </c>
      <c r="AA500" s="345">
        <f t="shared" si="205"/>
        <v>17.185760439215819</v>
      </c>
      <c r="AB500" s="346">
        <f t="shared" si="206"/>
        <v>-87.304531529896082</v>
      </c>
      <c r="AD500">
        <f t="shared" si="210"/>
        <v>0</v>
      </c>
      <c r="AE500">
        <f t="shared" si="213"/>
        <v>0</v>
      </c>
    </row>
    <row r="501" spans="1:31" x14ac:dyDescent="0.2">
      <c r="A501" s="347">
        <v>64565</v>
      </c>
      <c r="B501" s="364">
        <f t="shared" si="207"/>
        <v>64.564999999999998</v>
      </c>
      <c r="C501" s="337">
        <f t="shared" si="188"/>
        <v>159.53583380019057</v>
      </c>
      <c r="D501" s="338">
        <f t="shared" si="189"/>
        <v>1.5645281015024908</v>
      </c>
      <c r="E501" s="338">
        <f t="shared" si="190"/>
        <v>1.0073784865586182</v>
      </c>
      <c r="F501" s="339">
        <f t="shared" si="191"/>
        <v>0.12110658117941418</v>
      </c>
      <c r="G501" s="338">
        <f t="shared" si="192"/>
        <v>1</v>
      </c>
      <c r="H501" s="339">
        <f t="shared" si="193"/>
        <v>0</v>
      </c>
      <c r="I501" s="337">
        <f t="shared" si="194"/>
        <v>8577.8723861489925</v>
      </c>
      <c r="J501" s="340">
        <f t="shared" si="195"/>
        <v>1.5706797477695569</v>
      </c>
      <c r="K501" s="348">
        <f t="shared" si="211"/>
        <v>10.09010379414301</v>
      </c>
      <c r="L501" s="349">
        <f t="shared" si="212"/>
        <v>1.471526355754522</v>
      </c>
      <c r="M501" s="337">
        <f t="shared" si="196"/>
        <v>1.0185861539531156</v>
      </c>
      <c r="N501" s="340">
        <f t="shared" si="197"/>
        <v>0.19132577468768602</v>
      </c>
      <c r="O501" s="341">
        <f t="shared" si="198"/>
        <v>0.99903787181020132</v>
      </c>
      <c r="P501" s="342">
        <f t="shared" si="199"/>
        <v>8.0141343550217764E-2</v>
      </c>
      <c r="Q501" s="343">
        <f t="shared" si="200"/>
        <v>-0.73813144699919864</v>
      </c>
      <c r="R501" s="344">
        <f t="shared" si="201"/>
        <v>-103.9369523301128</v>
      </c>
      <c r="S501" s="346">
        <f t="shared" si="202"/>
        <v>76.063047669887197</v>
      </c>
      <c r="U501" s="319">
        <f t="shared" si="208"/>
        <v>64565</v>
      </c>
      <c r="V501" s="319">
        <f t="shared" si="209"/>
        <v>4168639225</v>
      </c>
      <c r="X501" s="345">
        <f t="shared" si="203"/>
        <v>38.957590090163634</v>
      </c>
      <c r="Y501" s="346">
        <f t="shared" si="204"/>
        <v>-16.643230307560643</v>
      </c>
      <c r="AA501" s="345">
        <f t="shared" si="205"/>
        <v>17.137028620932174</v>
      </c>
      <c r="AB501" s="346">
        <f t="shared" si="206"/>
        <v>-87.29372202255216</v>
      </c>
      <c r="AD501">
        <f t="shared" si="210"/>
        <v>0</v>
      </c>
      <c r="AE501">
        <f t="shared" si="213"/>
        <v>0</v>
      </c>
    </row>
    <row r="502" spans="1:31" x14ac:dyDescent="0.2">
      <c r="A502" s="347">
        <v>64941</v>
      </c>
      <c r="B502" s="364">
        <f t="shared" si="207"/>
        <v>64.941000000000003</v>
      </c>
      <c r="C502" s="337">
        <f t="shared" si="188"/>
        <v>160.46486847058819</v>
      </c>
      <c r="D502" s="338">
        <f t="shared" si="189"/>
        <v>1.564564392774733</v>
      </c>
      <c r="E502" s="338">
        <f t="shared" si="190"/>
        <v>1.0074643560326755</v>
      </c>
      <c r="F502" s="339">
        <f t="shared" si="191"/>
        <v>0.12180492073328197</v>
      </c>
      <c r="G502" s="338">
        <f t="shared" si="192"/>
        <v>1</v>
      </c>
      <c r="H502" s="339">
        <f t="shared" si="193"/>
        <v>0</v>
      </c>
      <c r="I502" s="337">
        <f t="shared" si="194"/>
        <v>8627.826385583443</v>
      </c>
      <c r="J502" s="340">
        <f t="shared" si="195"/>
        <v>1.5706804227470463</v>
      </c>
      <c r="K502" s="348">
        <f t="shared" si="211"/>
        <v>10.148288903962877</v>
      </c>
      <c r="L502" s="349">
        <f t="shared" si="212"/>
        <v>1.4720973799145163</v>
      </c>
      <c r="M502" s="337">
        <f t="shared" si="196"/>
        <v>1.0188012570315172</v>
      </c>
      <c r="N502" s="340">
        <f t="shared" si="197"/>
        <v>0.19241275566724098</v>
      </c>
      <c r="O502" s="341">
        <f t="shared" si="198"/>
        <v>0.99902673040780576</v>
      </c>
      <c r="P502" s="342">
        <f t="shared" si="199"/>
        <v>8.0609965237865358E-2</v>
      </c>
      <c r="Q502" s="343">
        <f t="shared" si="200"/>
        <v>-0.79005521522461042</v>
      </c>
      <c r="R502" s="344">
        <f t="shared" si="201"/>
        <v>-103.95547062418665</v>
      </c>
      <c r="S502" s="346">
        <f t="shared" si="202"/>
        <v>76.044529375813354</v>
      </c>
      <c r="U502" s="319">
        <f t="shared" si="208"/>
        <v>64941</v>
      </c>
      <c r="V502" s="319">
        <f t="shared" si="209"/>
        <v>4217333481</v>
      </c>
      <c r="X502" s="345">
        <f t="shared" si="203"/>
        <v>38.955263456817008</v>
      </c>
      <c r="Y502" s="346">
        <f t="shared" si="204"/>
        <v>-16.672831129127701</v>
      </c>
      <c r="AA502" s="345">
        <f t="shared" si="205"/>
        <v>17.08743148605339</v>
      </c>
      <c r="AB502" s="346">
        <f t="shared" si="206"/>
        <v>-87.282639495058959</v>
      </c>
      <c r="AD502">
        <f t="shared" si="210"/>
        <v>0</v>
      </c>
      <c r="AE502">
        <f t="shared" si="213"/>
        <v>0</v>
      </c>
    </row>
    <row r="503" spans="1:31" x14ac:dyDescent="0.2">
      <c r="A503" s="347">
        <v>65317</v>
      </c>
      <c r="B503" s="364">
        <f t="shared" si="207"/>
        <v>65.316999999999993</v>
      </c>
      <c r="C503" s="337">
        <f t="shared" si="188"/>
        <v>161.39390334989395</v>
      </c>
      <c r="D503" s="338">
        <f t="shared" si="189"/>
        <v>1.5646002662387031</v>
      </c>
      <c r="E503" s="338">
        <f t="shared" si="190"/>
        <v>1.0075507167411828</v>
      </c>
      <c r="F503" s="339">
        <f t="shared" si="191"/>
        <v>0.12250314091333919</v>
      </c>
      <c r="G503" s="338">
        <f t="shared" si="192"/>
        <v>1</v>
      </c>
      <c r="H503" s="339">
        <f t="shared" si="193"/>
        <v>0</v>
      </c>
      <c r="I503" s="337">
        <f t="shared" si="194"/>
        <v>8677.780385021777</v>
      </c>
      <c r="J503" s="340">
        <f t="shared" si="195"/>
        <v>1.5706810899534642</v>
      </c>
      <c r="K503" s="348">
        <f t="shared" si="211"/>
        <v>10.206477285092037</v>
      </c>
      <c r="L503" s="349">
        <f t="shared" si="212"/>
        <v>1.4726618932990334</v>
      </c>
      <c r="M503" s="337">
        <f t="shared" si="196"/>
        <v>1.0190175633427523</v>
      </c>
      <c r="N503" s="340">
        <f t="shared" si="197"/>
        <v>0.1934992764643591</v>
      </c>
      <c r="O503" s="341">
        <f t="shared" si="198"/>
        <v>0.99901552657968573</v>
      </c>
      <c r="P503" s="342">
        <f t="shared" si="199"/>
        <v>8.1078620197684054E-2</v>
      </c>
      <c r="Q503" s="343">
        <f t="shared" si="200"/>
        <v>-0.84168456486116205</v>
      </c>
      <c r="R503" s="344">
        <f t="shared" si="201"/>
        <v>-103.97431995377592</v>
      </c>
      <c r="S503" s="346">
        <f t="shared" si="202"/>
        <v>76.025680046224082</v>
      </c>
      <c r="U503" s="319">
        <f t="shared" si="208"/>
        <v>65317</v>
      </c>
      <c r="V503" s="319">
        <f t="shared" si="209"/>
        <v>4266310489</v>
      </c>
      <c r="X503" s="345">
        <f t="shared" si="203"/>
        <v>38.9529353818956</v>
      </c>
      <c r="Y503" s="346">
        <f t="shared" si="204"/>
        <v>-16.702778178890306</v>
      </c>
      <c r="AA503" s="345">
        <f t="shared" si="205"/>
        <v>17.038130211338249</v>
      </c>
      <c r="AB503" s="346">
        <f t="shared" si="206"/>
        <v>-87.271541774885605</v>
      </c>
      <c r="AD503">
        <f t="shared" si="210"/>
        <v>0</v>
      </c>
      <c r="AE503">
        <f t="shared" si="213"/>
        <v>0</v>
      </c>
    </row>
    <row r="504" spans="1:31" x14ac:dyDescent="0.2">
      <c r="A504" s="347">
        <v>65693</v>
      </c>
      <c r="B504" s="364">
        <f t="shared" si="207"/>
        <v>65.692999999999998</v>
      </c>
      <c r="C504" s="337">
        <f t="shared" si="188"/>
        <v>162.32293843452095</v>
      </c>
      <c r="D504" s="338">
        <f t="shared" si="189"/>
        <v>1.5646357290681283</v>
      </c>
      <c r="E504" s="338">
        <f t="shared" si="190"/>
        <v>1.0076375685578345</v>
      </c>
      <c r="F504" s="339">
        <f t="shared" si="191"/>
        <v>0.12320124106958635</v>
      </c>
      <c r="G504" s="338">
        <f t="shared" si="192"/>
        <v>1</v>
      </c>
      <c r="H504" s="339">
        <f t="shared" si="193"/>
        <v>0</v>
      </c>
      <c r="I504" s="337">
        <f t="shared" si="194"/>
        <v>8727.7343844639308</v>
      </c>
      <c r="J504" s="340">
        <f t="shared" si="195"/>
        <v>1.5706817495222463</v>
      </c>
      <c r="K504" s="348">
        <f t="shared" si="211"/>
        <v>10.264668881897274</v>
      </c>
      <c r="L504" s="349">
        <f t="shared" si="212"/>
        <v>1.4732200062762066</v>
      </c>
      <c r="M504" s="337">
        <f t="shared" si="196"/>
        <v>1.0192350721207546</v>
      </c>
      <c r="N504" s="340">
        <f t="shared" si="197"/>
        <v>0.1945853348075107</v>
      </c>
      <c r="O504" s="341">
        <f t="shared" si="198"/>
        <v>0.9990042603653273</v>
      </c>
      <c r="P504" s="342">
        <f t="shared" si="199"/>
        <v>8.1547308621557318E-2</v>
      </c>
      <c r="Q504" s="343">
        <f t="shared" si="200"/>
        <v>-0.89302301835728537</v>
      </c>
      <c r="R504" s="344">
        <f t="shared" si="201"/>
        <v>-103.99349433200922</v>
      </c>
      <c r="S504" s="346">
        <f t="shared" si="202"/>
        <v>76.00650566799078</v>
      </c>
      <c r="U504" s="319">
        <f t="shared" si="208"/>
        <v>65693</v>
      </c>
      <c r="V504" s="319">
        <f t="shared" si="209"/>
        <v>4315570249</v>
      </c>
      <c r="X504" s="345">
        <f t="shared" si="203"/>
        <v>38.950605687437047</v>
      </c>
      <c r="Y504" s="346">
        <f t="shared" si="204"/>
        <v>-16.733065010716469</v>
      </c>
      <c r="AA504" s="345">
        <f t="shared" si="205"/>
        <v>16.989121452300672</v>
      </c>
      <c r="AB504" s="346">
        <f t="shared" si="206"/>
        <v>-87.260429321292762</v>
      </c>
      <c r="AD504">
        <f t="shared" si="210"/>
        <v>0</v>
      </c>
      <c r="AE504">
        <f t="shared" si="213"/>
        <v>0</v>
      </c>
    </row>
    <row r="505" spans="1:31" x14ac:dyDescent="0.2">
      <c r="A505" s="347">
        <v>66069</v>
      </c>
      <c r="B505" s="364">
        <f t="shared" si="207"/>
        <v>66.069000000000003</v>
      </c>
      <c r="C505" s="337">
        <f t="shared" si="188"/>
        <v>163.25197372096383</v>
      </c>
      <c r="D505" s="338">
        <f t="shared" si="189"/>
        <v>1.5646707882734432</v>
      </c>
      <c r="E505" s="338">
        <f t="shared" si="190"/>
        <v>1.0077249113556506</v>
      </c>
      <c r="F505" s="339">
        <f t="shared" si="191"/>
        <v>0.12389922055271531</v>
      </c>
      <c r="G505" s="338">
        <f t="shared" si="192"/>
        <v>1</v>
      </c>
      <c r="H505" s="339">
        <f t="shared" si="193"/>
        <v>0</v>
      </c>
      <c r="I505" s="337">
        <f t="shared" si="194"/>
        <v>8777.6883839098391</v>
      </c>
      <c r="J505" s="340">
        <f t="shared" si="195"/>
        <v>1.5706824015837901</v>
      </c>
      <c r="K505" s="348">
        <f t="shared" si="211"/>
        <v>10.322863639996781</v>
      </c>
      <c r="L505" s="349">
        <f t="shared" si="212"/>
        <v>1.4737718267415409</v>
      </c>
      <c r="M505" s="337">
        <f t="shared" si="196"/>
        <v>1.0194537825958565</v>
      </c>
      <c r="N505" s="340">
        <f t="shared" si="197"/>
        <v>0.19567092843146311</v>
      </c>
      <c r="O505" s="341">
        <f t="shared" si="198"/>
        <v>0.99899293180444704</v>
      </c>
      <c r="P505" s="342">
        <f t="shared" si="199"/>
        <v>8.2016030701354964E-2</v>
      </c>
      <c r="Q505" s="343">
        <f t="shared" si="200"/>
        <v>-0.94407403554161307</v>
      </c>
      <c r="R505" s="344">
        <f t="shared" si="201"/>
        <v>-104.01298790447676</v>
      </c>
      <c r="S505" s="346">
        <f t="shared" si="202"/>
        <v>75.987012095523241</v>
      </c>
      <c r="U505" s="319">
        <f t="shared" si="208"/>
        <v>66069</v>
      </c>
      <c r="V505" s="319">
        <f t="shared" si="209"/>
        <v>4365112761</v>
      </c>
      <c r="X505" s="345">
        <f t="shared" si="203"/>
        <v>38.948274200899192</v>
      </c>
      <c r="Y505" s="346">
        <f t="shared" si="204"/>
        <v>-16.763685320332094</v>
      </c>
      <c r="AA505" s="345">
        <f t="shared" si="205"/>
        <v>16.940401921654203</v>
      </c>
      <c r="AB505" s="346">
        <f t="shared" si="206"/>
        <v>-87.249302584144658</v>
      </c>
      <c r="AD505">
        <f t="shared" si="210"/>
        <v>0</v>
      </c>
      <c r="AE505">
        <f t="shared" si="213"/>
        <v>0</v>
      </c>
    </row>
    <row r="506" spans="1:31" x14ac:dyDescent="0.2">
      <c r="A506" s="347">
        <v>66453.75</v>
      </c>
      <c r="B506" s="364">
        <f t="shared" si="207"/>
        <v>66.453749999999999</v>
      </c>
      <c r="C506" s="337">
        <f t="shared" si="188"/>
        <v>164.20262904986649</v>
      </c>
      <c r="D506" s="338">
        <f t="shared" si="189"/>
        <v>1.5647062526754163</v>
      </c>
      <c r="E506" s="338">
        <f t="shared" si="190"/>
        <v>1.007814794851448</v>
      </c>
      <c r="F506" s="339">
        <f t="shared" si="191"/>
        <v>0.12461331731470029</v>
      </c>
      <c r="G506" s="338">
        <f t="shared" si="192"/>
        <v>1</v>
      </c>
      <c r="H506" s="339">
        <f t="shared" si="193"/>
        <v>0</v>
      </c>
      <c r="I506" s="337">
        <f t="shared" si="194"/>
        <v>8828.8048766977336</v>
      </c>
      <c r="J506" s="340">
        <f t="shared" si="195"/>
        <v>1.5706830611812486</v>
      </c>
      <c r="K506" s="348">
        <f t="shared" si="211"/>
        <v>10.382415881454511</v>
      </c>
      <c r="L506" s="349">
        <f t="shared" si="212"/>
        <v>1.4743300849409702</v>
      </c>
      <c r="M506" s="337">
        <f t="shared" si="196"/>
        <v>1.019678825906257</v>
      </c>
      <c r="N506" s="340">
        <f t="shared" si="197"/>
        <v>0.19678130178148459</v>
      </c>
      <c r="O506" s="341">
        <f t="shared" si="198"/>
        <v>0.99898127511543833</v>
      </c>
      <c r="P506" s="342">
        <f t="shared" si="199"/>
        <v>8.2495695582325806E-2</v>
      </c>
      <c r="Q506" s="343">
        <f t="shared" si="200"/>
        <v>-0.99601907258223377</v>
      </c>
      <c r="R506" s="344">
        <f t="shared" si="201"/>
        <v>-104.03325956777523</v>
      </c>
      <c r="S506" s="346">
        <f t="shared" si="202"/>
        <v>75.966740432224768</v>
      </c>
      <c r="U506" s="319">
        <f t="shared" si="208"/>
        <v>66453.75</v>
      </c>
      <c r="V506" s="319">
        <f t="shared" si="209"/>
        <v>4416100889.0625</v>
      </c>
      <c r="X506" s="345">
        <f t="shared" si="203"/>
        <v>38.945886428073024</v>
      </c>
      <c r="Y506" s="346">
        <f t="shared" si="204"/>
        <v>-16.795356980452997</v>
      </c>
      <c r="AA506" s="345">
        <f t="shared" si="205"/>
        <v>16.890844657439754</v>
      </c>
      <c r="AB506" s="346">
        <f t="shared" si="206"/>
        <v>-87.23790258732221</v>
      </c>
      <c r="AD506">
        <f t="shared" si="210"/>
        <v>0</v>
      </c>
      <c r="AE506">
        <f t="shared" si="213"/>
        <v>0</v>
      </c>
    </row>
    <row r="507" spans="1:31" x14ac:dyDescent="0.2">
      <c r="A507" s="347">
        <v>66838.5</v>
      </c>
      <c r="B507" s="364">
        <f t="shared" si="207"/>
        <v>66.838499999999996</v>
      </c>
      <c r="C507" s="337">
        <f t="shared" si="188"/>
        <v>165.15328458291316</v>
      </c>
      <c r="D507" s="338">
        <f t="shared" si="189"/>
        <v>1.5647413087969677</v>
      </c>
      <c r="E507" s="338">
        <f t="shared" si="190"/>
        <v>1.0079051921746478</v>
      </c>
      <c r="F507" s="339">
        <f t="shared" si="191"/>
        <v>0.12532728634843071</v>
      </c>
      <c r="G507" s="338">
        <f t="shared" si="192"/>
        <v>1</v>
      </c>
      <c r="H507" s="339">
        <f t="shared" si="193"/>
        <v>0</v>
      </c>
      <c r="I507" s="337">
        <f t="shared" si="194"/>
        <v>8879.9213694894261</v>
      </c>
      <c r="J507" s="340">
        <f t="shared" si="195"/>
        <v>1.5706837131848763</v>
      </c>
      <c r="K507" s="348">
        <f t="shared" si="211"/>
        <v>10.44197132170712</v>
      </c>
      <c r="L507" s="349">
        <f t="shared" si="212"/>
        <v>1.4748819752961801</v>
      </c>
      <c r="M507" s="337">
        <f t="shared" si="196"/>
        <v>1.0199051258525225</v>
      </c>
      <c r="N507" s="340">
        <f t="shared" si="197"/>
        <v>0.19789118375273262</v>
      </c>
      <c r="O507" s="341">
        <f t="shared" si="198"/>
        <v>0.99896955322925618</v>
      </c>
      <c r="P507" s="342">
        <f t="shared" si="199"/>
        <v>8.2975396110318803E-2</v>
      </c>
      <c r="Q507" s="343">
        <f t="shared" si="200"/>
        <v>-1.047670274923088</v>
      </c>
      <c r="R507" s="344">
        <f t="shared" si="201"/>
        <v>-104.05385346061695</v>
      </c>
      <c r="S507" s="346">
        <f t="shared" si="202"/>
        <v>75.946146539383051</v>
      </c>
      <c r="U507" s="319">
        <f t="shared" si="208"/>
        <v>66838.5</v>
      </c>
      <c r="V507" s="319">
        <f t="shared" si="209"/>
        <v>4467385082.25</v>
      </c>
      <c r="X507" s="345">
        <f t="shared" si="203"/>
        <v>38.943496429865348</v>
      </c>
      <c r="Y507" s="346">
        <f t="shared" si="204"/>
        <v>-16.827364902148336</v>
      </c>
      <c r="AA507" s="345">
        <f t="shared" si="205"/>
        <v>16.841583453306569</v>
      </c>
      <c r="AB507" s="346">
        <f t="shared" si="206"/>
        <v>-87.226488558468589</v>
      </c>
      <c r="AD507">
        <f t="shared" si="210"/>
        <v>0</v>
      </c>
      <c r="AE507">
        <f t="shared" si="213"/>
        <v>0</v>
      </c>
    </row>
    <row r="508" spans="1:31" x14ac:dyDescent="0.2">
      <c r="A508" s="347">
        <v>67223.25</v>
      </c>
      <c r="B508" s="364">
        <f t="shared" si="207"/>
        <v>67.223249999999993</v>
      </c>
      <c r="C508" s="337">
        <f t="shared" si="188"/>
        <v>166.10394031659871</v>
      </c>
      <c r="D508" s="338">
        <f t="shared" si="189"/>
        <v>1.5647759636480929</v>
      </c>
      <c r="E508" s="338">
        <f t="shared" si="190"/>
        <v>1.0079961031870099</v>
      </c>
      <c r="F508" s="339">
        <f t="shared" si="191"/>
        <v>0.12604112696047504</v>
      </c>
      <c r="G508" s="338">
        <f t="shared" si="192"/>
        <v>1</v>
      </c>
      <c r="H508" s="339">
        <f t="shared" si="193"/>
        <v>0</v>
      </c>
      <c r="I508" s="337">
        <f t="shared" si="194"/>
        <v>8931.0378622848511</v>
      </c>
      <c r="J508" s="340">
        <f t="shared" si="195"/>
        <v>1.5706843577250629</v>
      </c>
      <c r="K508" s="348">
        <f t="shared" si="211"/>
        <v>10.501529906332356</v>
      </c>
      <c r="L508" s="349">
        <f t="shared" si="212"/>
        <v>1.4754276058122384</v>
      </c>
      <c r="M508" s="337">
        <f t="shared" si="196"/>
        <v>1.0201326815983607</v>
      </c>
      <c r="N508" s="340">
        <f t="shared" si="197"/>
        <v>0.19900057193874468</v>
      </c>
      <c r="O508" s="341">
        <f t="shared" si="198"/>
        <v>0.99895776618920318</v>
      </c>
      <c r="P508" s="342">
        <f t="shared" si="199"/>
        <v>8.3455132490868014E-2</v>
      </c>
      <c r="Q508" s="343">
        <f t="shared" si="200"/>
        <v>-1.099031155491891</v>
      </c>
      <c r="R508" s="344">
        <f t="shared" si="201"/>
        <v>-104.07476371750801</v>
      </c>
      <c r="S508" s="346">
        <f t="shared" si="202"/>
        <v>75.925236282491994</v>
      </c>
      <c r="U508" s="319">
        <f t="shared" si="208"/>
        <v>67223.25</v>
      </c>
      <c r="V508" s="319">
        <f t="shared" si="209"/>
        <v>4518965340.5625</v>
      </c>
      <c r="X508" s="345">
        <f t="shared" si="203"/>
        <v>38.941104037880109</v>
      </c>
      <c r="Y508" s="346">
        <f t="shared" si="204"/>
        <v>-16.859702766774181</v>
      </c>
      <c r="AA508" s="345">
        <f t="shared" si="205"/>
        <v>16.792614964723008</v>
      </c>
      <c r="AB508" s="346">
        <f t="shared" si="206"/>
        <v>-87.215060950733843</v>
      </c>
      <c r="AD508">
        <f t="shared" si="210"/>
        <v>0</v>
      </c>
      <c r="AE508">
        <f t="shared" si="213"/>
        <v>0</v>
      </c>
    </row>
    <row r="509" spans="1:31" x14ac:dyDescent="0.2">
      <c r="A509" s="347">
        <v>67608</v>
      </c>
      <c r="B509" s="364">
        <f t="shared" si="207"/>
        <v>67.608000000000004</v>
      </c>
      <c r="C509" s="337">
        <f t="shared" si="188"/>
        <v>167.05459624749781</v>
      </c>
      <c r="D509" s="338">
        <f t="shared" si="189"/>
        <v>1.564810224079225</v>
      </c>
      <c r="E509" s="338">
        <f t="shared" si="190"/>
        <v>1.0080875277495582</v>
      </c>
      <c r="F509" s="339">
        <f t="shared" si="191"/>
        <v>0.1267548384581747</v>
      </c>
      <c r="G509" s="338">
        <f t="shared" si="192"/>
        <v>1</v>
      </c>
      <c r="H509" s="339">
        <f t="shared" si="193"/>
        <v>0</v>
      </c>
      <c r="I509" s="337">
        <f t="shared" si="194"/>
        <v>8982.1543550839415</v>
      </c>
      <c r="J509" s="340">
        <f t="shared" si="195"/>
        <v>1.570684994929229</v>
      </c>
      <c r="K509" s="348">
        <f t="shared" si="211"/>
        <v>10.561091582132764</v>
      </c>
      <c r="L509" s="349">
        <f t="shared" si="212"/>
        <v>1.4759670820728388</v>
      </c>
      <c r="M509" s="337">
        <f t="shared" si="196"/>
        <v>1.0203614923035855</v>
      </c>
      <c r="N509" s="340">
        <f t="shared" si="197"/>
        <v>0.20010946394006074</v>
      </c>
      <c r="O509" s="341">
        <f t="shared" si="198"/>
        <v>0.99894591403883481</v>
      </c>
      <c r="P509" s="342">
        <f t="shared" si="199"/>
        <v>8.3934904929492044E-2</v>
      </c>
      <c r="Q509" s="343">
        <f t="shared" si="200"/>
        <v>-1.1501051648318932</v>
      </c>
      <c r="R509" s="344">
        <f t="shared" si="201"/>
        <v>-104.09598460273286</v>
      </c>
      <c r="S509" s="346">
        <f t="shared" si="202"/>
        <v>75.904015397267145</v>
      </c>
      <c r="U509" s="319">
        <f t="shared" si="208"/>
        <v>67608</v>
      </c>
      <c r="V509" s="319">
        <f t="shared" si="209"/>
        <v>4570841664</v>
      </c>
      <c r="X509" s="345">
        <f t="shared" si="203"/>
        <v>38.938709088911338</v>
      </c>
      <c r="Y509" s="346">
        <f t="shared" si="204"/>
        <v>-16.892364394652233</v>
      </c>
      <c r="AA509" s="345">
        <f t="shared" si="205"/>
        <v>16.743935904351773</v>
      </c>
      <c r="AB509" s="346">
        <f t="shared" si="206"/>
        <v>-87.203620208080622</v>
      </c>
      <c r="AD509">
        <f t="shared" si="210"/>
        <v>0</v>
      </c>
      <c r="AE509">
        <f t="shared" si="213"/>
        <v>0</v>
      </c>
    </row>
    <row r="510" spans="1:31" x14ac:dyDescent="0.2">
      <c r="A510" s="347">
        <v>68001.75</v>
      </c>
      <c r="B510" s="364">
        <f t="shared" si="207"/>
        <v>68.001750000000001</v>
      </c>
      <c r="C510" s="337">
        <f t="shared" si="188"/>
        <v>168.02748994472657</v>
      </c>
      <c r="D510" s="338">
        <f t="shared" si="189"/>
        <v>1.5648448845420198</v>
      </c>
      <c r="E510" s="338">
        <f t="shared" si="190"/>
        <v>1.0081816224625735</v>
      </c>
      <c r="F510" s="339">
        <f t="shared" si="191"/>
        <v>0.12748511055974329</v>
      </c>
      <c r="G510" s="338">
        <f t="shared" si="192"/>
        <v>1</v>
      </c>
      <c r="H510" s="339">
        <f t="shared" si="193"/>
        <v>0</v>
      </c>
      <c r="I510" s="337">
        <f t="shared" si="194"/>
        <v>9034.4665553206651</v>
      </c>
      <c r="J510" s="340">
        <f t="shared" si="195"/>
        <v>1.5706856395732529</v>
      </c>
      <c r="K510" s="348">
        <f t="shared" si="211"/>
        <v>10.622049659732008</v>
      </c>
      <c r="L510" s="349">
        <f t="shared" si="212"/>
        <v>1.4765129134824473</v>
      </c>
      <c r="M510" s="337">
        <f t="shared" si="196"/>
        <v>1.0205969537616515</v>
      </c>
      <c r="N510" s="340">
        <f t="shared" si="197"/>
        <v>0.20124377870882013</v>
      </c>
      <c r="O510" s="341">
        <f t="shared" si="198"/>
        <v>0.99893371727819391</v>
      </c>
      <c r="P510" s="342">
        <f t="shared" si="199"/>
        <v>8.4425937662782821E-2</v>
      </c>
      <c r="Q510" s="343">
        <f t="shared" si="200"/>
        <v>-1.2020804089609116</v>
      </c>
      <c r="R510" s="344">
        <f t="shared" si="201"/>
        <v>-104.11801764307135</v>
      </c>
      <c r="S510" s="346">
        <f t="shared" si="202"/>
        <v>75.881982356928646</v>
      </c>
      <c r="U510" s="319">
        <f t="shared" si="208"/>
        <v>68001.75</v>
      </c>
      <c r="V510" s="319">
        <f t="shared" si="209"/>
        <v>4624238003.0625</v>
      </c>
      <c r="X510" s="345">
        <f t="shared" si="203"/>
        <v>38.936255305313679</v>
      </c>
      <c r="Y510" s="346">
        <f t="shared" si="204"/>
        <v>-16.926118942865696</v>
      </c>
      <c r="AA510" s="345">
        <f t="shared" si="205"/>
        <v>16.694414443820413</v>
      </c>
      <c r="AB510" s="346">
        <f t="shared" si="206"/>
        <v>-87.191898700205655</v>
      </c>
      <c r="AD510">
        <f t="shared" si="210"/>
        <v>0</v>
      </c>
      <c r="AE510">
        <f t="shared" si="213"/>
        <v>0</v>
      </c>
    </row>
    <row r="511" spans="1:31" x14ac:dyDescent="0.2">
      <c r="A511" s="347">
        <v>68395.5</v>
      </c>
      <c r="B511" s="364">
        <f t="shared" si="207"/>
        <v>68.395499999999998</v>
      </c>
      <c r="C511" s="337">
        <f t="shared" si="188"/>
        <v>169.00038384149065</v>
      </c>
      <c r="D511" s="338">
        <f t="shared" si="189"/>
        <v>1.5648791459412328</v>
      </c>
      <c r="E511" s="338">
        <f t="shared" si="190"/>
        <v>1.0082762547356501</v>
      </c>
      <c r="F511" s="339">
        <f t="shared" si="191"/>
        <v>0.12821524597052242</v>
      </c>
      <c r="G511" s="338">
        <f t="shared" si="192"/>
        <v>1</v>
      </c>
      <c r="H511" s="339">
        <f t="shared" si="193"/>
        <v>0</v>
      </c>
      <c r="I511" s="337">
        <f t="shared" si="194"/>
        <v>9086.7787555610976</v>
      </c>
      <c r="J511" s="340">
        <f t="shared" si="195"/>
        <v>1.5706862767949001</v>
      </c>
      <c r="K511" s="348">
        <f t="shared" si="211"/>
        <v>10.683010865862995</v>
      </c>
      <c r="L511" s="349">
        <f t="shared" si="212"/>
        <v>1.4770525156200065</v>
      </c>
      <c r="M511" s="337">
        <f t="shared" si="196"/>
        <v>1.0208337277844273</v>
      </c>
      <c r="N511" s="340">
        <f t="shared" si="197"/>
        <v>0.20237756874578894</v>
      </c>
      <c r="O511" s="341">
        <f t="shared" si="198"/>
        <v>0.99892145241862518</v>
      </c>
      <c r="P511" s="342">
        <f t="shared" si="199"/>
        <v>8.491700859628315E-2</v>
      </c>
      <c r="Q511" s="343">
        <f t="shared" si="200"/>
        <v>-1.2537623224510075</v>
      </c>
      <c r="R511" s="344">
        <f t="shared" si="201"/>
        <v>-104.14036426007735</v>
      </c>
      <c r="S511" s="346">
        <f t="shared" si="202"/>
        <v>75.859635739922652</v>
      </c>
      <c r="U511" s="319">
        <f t="shared" si="208"/>
        <v>68395.5</v>
      </c>
      <c r="V511" s="319">
        <f t="shared" si="209"/>
        <v>4677944420.25</v>
      </c>
      <c r="X511" s="345">
        <f t="shared" si="203"/>
        <v>38.933798513762447</v>
      </c>
      <c r="Y511" s="346">
        <f t="shared" si="204"/>
        <v>-16.96019991188955</v>
      </c>
      <c r="AA511" s="345">
        <f t="shared" si="205"/>
        <v>16.645189321881556</v>
      </c>
      <c r="AB511" s="346">
        <f t="shared" si="206"/>
        <v>-87.180164348187787</v>
      </c>
      <c r="AD511">
        <f t="shared" si="210"/>
        <v>0</v>
      </c>
      <c r="AE511">
        <f t="shared" si="213"/>
        <v>0</v>
      </c>
    </row>
    <row r="512" spans="1:31" x14ac:dyDescent="0.2">
      <c r="A512" s="347">
        <v>68789.25</v>
      </c>
      <c r="B512" s="364">
        <f t="shared" si="207"/>
        <v>68.789249999999996</v>
      </c>
      <c r="C512" s="337">
        <f t="shared" si="188"/>
        <v>169.97327793436372</v>
      </c>
      <c r="D512" s="338">
        <f t="shared" si="189"/>
        <v>1.5649130151292703</v>
      </c>
      <c r="E512" s="338">
        <f t="shared" si="190"/>
        <v>1.0083714244174433</v>
      </c>
      <c r="F512" s="339">
        <f t="shared" si="191"/>
        <v>0.12894524395063905</v>
      </c>
      <c r="G512" s="338">
        <f t="shared" si="192"/>
        <v>1</v>
      </c>
      <c r="H512" s="339">
        <f t="shared" si="193"/>
        <v>0</v>
      </c>
      <c r="I512" s="337">
        <f t="shared" si="194"/>
        <v>9139.090955805179</v>
      </c>
      <c r="J512" s="340">
        <f t="shared" si="195"/>
        <v>1.5706869067216278</v>
      </c>
      <c r="K512" s="348">
        <f t="shared" si="211"/>
        <v>10.743975147271948</v>
      </c>
      <c r="L512" s="349">
        <f t="shared" si="212"/>
        <v>1.4775859942084064</v>
      </c>
      <c r="M512" s="337">
        <f t="shared" si="196"/>
        <v>1.0210718134588097</v>
      </c>
      <c r="N512" s="340">
        <f t="shared" si="197"/>
        <v>0.20351083150209348</v>
      </c>
      <c r="O512" s="341">
        <f t="shared" si="198"/>
        <v>0.99890911950763417</v>
      </c>
      <c r="P512" s="342">
        <f t="shared" si="199"/>
        <v>8.540811795022317E-2</v>
      </c>
      <c r="Q512" s="343">
        <f t="shared" si="200"/>
        <v>-1.3051544102234256</v>
      </c>
      <c r="R512" s="344">
        <f t="shared" si="201"/>
        <v>-104.16301870516229</v>
      </c>
      <c r="S512" s="346">
        <f t="shared" si="202"/>
        <v>75.836981294837713</v>
      </c>
      <c r="U512" s="319">
        <f t="shared" si="208"/>
        <v>68789.25</v>
      </c>
      <c r="V512" s="319">
        <f t="shared" si="209"/>
        <v>4731960915.5625</v>
      </c>
      <c r="X512" s="345">
        <f t="shared" si="203"/>
        <v>38.931338555110877</v>
      </c>
      <c r="Y512" s="346">
        <f t="shared" si="204"/>
        <v>-16.994601105511457</v>
      </c>
      <c r="AA512" s="345">
        <f t="shared" si="205"/>
        <v>16.596257192760703</v>
      </c>
      <c r="AB512" s="346">
        <f t="shared" si="206"/>
        <v>-87.168417599650837</v>
      </c>
      <c r="AD512">
        <f t="shared" si="210"/>
        <v>0</v>
      </c>
      <c r="AE512">
        <f t="shared" si="213"/>
        <v>0</v>
      </c>
    </row>
    <row r="513" spans="1:31" x14ac:dyDescent="0.2">
      <c r="A513" s="347">
        <v>69183</v>
      </c>
      <c r="B513" s="364">
        <f t="shared" si="207"/>
        <v>69.183000000000007</v>
      </c>
      <c r="C513" s="337">
        <f t="shared" si="188"/>
        <v>170.94617221999752</v>
      </c>
      <c r="D513" s="338">
        <f t="shared" si="189"/>
        <v>1.5649464988025481</v>
      </c>
      <c r="E513" s="338">
        <f t="shared" si="190"/>
        <v>1.008467131355806</v>
      </c>
      <c r="F513" s="339">
        <f t="shared" si="191"/>
        <v>0.12967510376108451</v>
      </c>
      <c r="G513" s="338">
        <f t="shared" si="192"/>
        <v>1</v>
      </c>
      <c r="H513" s="339">
        <f t="shared" si="193"/>
        <v>0</v>
      </c>
      <c r="I513" s="337">
        <f t="shared" si="194"/>
        <v>9191.4031560528438</v>
      </c>
      <c r="J513" s="340">
        <f t="shared" si="195"/>
        <v>1.5706875294779914</v>
      </c>
      <c r="K513" s="348">
        <f t="shared" si="211"/>
        <v>10.804942451904328</v>
      </c>
      <c r="L513" s="349">
        <f t="shared" si="212"/>
        <v>1.4781134525984798</v>
      </c>
      <c r="M513" s="337">
        <f t="shared" si="196"/>
        <v>1.0213112098674919</v>
      </c>
      <c r="N513" s="340">
        <f t="shared" si="197"/>
        <v>0.20464356443664747</v>
      </c>
      <c r="O513" s="341">
        <f t="shared" si="198"/>
        <v>0.99889671859300389</v>
      </c>
      <c r="P513" s="342">
        <f t="shared" si="199"/>
        <v>8.5899265944815659E-2</v>
      </c>
      <c r="Q513" s="343">
        <f t="shared" si="200"/>
        <v>-1.3562601150112354</v>
      </c>
      <c r="R513" s="344">
        <f t="shared" si="201"/>
        <v>-104.18597535693839</v>
      </c>
      <c r="S513" s="346">
        <f t="shared" si="202"/>
        <v>75.814024643061614</v>
      </c>
      <c r="U513" s="319">
        <f t="shared" si="208"/>
        <v>69183</v>
      </c>
      <c r="V513" s="319">
        <f t="shared" si="209"/>
        <v>4786287489</v>
      </c>
      <c r="X513" s="345">
        <f t="shared" si="203"/>
        <v>38.928875275184765</v>
      </c>
      <c r="Y513" s="346">
        <f t="shared" si="204"/>
        <v>-17.029316463707872</v>
      </c>
      <c r="AA513" s="345">
        <f t="shared" si="205"/>
        <v>16.547614767899002</v>
      </c>
      <c r="AB513" s="346">
        <f t="shared" si="206"/>
        <v>-87.156658893230542</v>
      </c>
      <c r="AD513">
        <f t="shared" si="210"/>
        <v>0</v>
      </c>
      <c r="AE513">
        <f t="shared" si="213"/>
        <v>0</v>
      </c>
    </row>
    <row r="514" spans="1:31" x14ac:dyDescent="0.2">
      <c r="A514" s="347">
        <v>69586</v>
      </c>
      <c r="B514" s="364">
        <f t="shared" si="207"/>
        <v>69.585999999999999</v>
      </c>
      <c r="C514" s="337">
        <f t="shared" si="188"/>
        <v>171.94192199615213</v>
      </c>
      <c r="D514" s="338">
        <f t="shared" si="189"/>
        <v>1.5649803766998958</v>
      </c>
      <c r="E514" s="338">
        <f t="shared" si="190"/>
        <v>1.0085656428247343</v>
      </c>
      <c r="F514" s="339">
        <f t="shared" si="191"/>
        <v>0.13042196563756922</v>
      </c>
      <c r="G514" s="338">
        <f t="shared" si="192"/>
        <v>1</v>
      </c>
      <c r="H514" s="339">
        <f t="shared" si="193"/>
        <v>0</v>
      </c>
      <c r="I514" s="337">
        <f t="shared" si="194"/>
        <v>9244.9442778337871</v>
      </c>
      <c r="J514" s="340">
        <f t="shared" si="195"/>
        <v>1.5706881595662041</v>
      </c>
      <c r="K514" s="348">
        <f t="shared" si="211"/>
        <v>10.867345081816621</v>
      </c>
      <c r="L514" s="349">
        <f t="shared" si="212"/>
        <v>1.4786471735134632</v>
      </c>
      <c r="M514" s="337">
        <f t="shared" si="196"/>
        <v>1.0215575865138489</v>
      </c>
      <c r="N514" s="340">
        <f t="shared" si="197"/>
        <v>0.20580235632362873</v>
      </c>
      <c r="O514" s="341">
        <f t="shared" si="198"/>
        <v>0.99888395598673541</v>
      </c>
      <c r="P514" s="342">
        <f t="shared" si="199"/>
        <v>8.640199226201975E-2</v>
      </c>
      <c r="Q514" s="343">
        <f t="shared" si="200"/>
        <v>-1.4082733738374946</v>
      </c>
      <c r="R514" s="344">
        <f t="shared" si="201"/>
        <v>-104.20977851031348</v>
      </c>
      <c r="S514" s="346">
        <f t="shared" si="202"/>
        <v>75.790221489686516</v>
      </c>
      <c r="U514" s="319">
        <f t="shared" si="208"/>
        <v>69586</v>
      </c>
      <c r="V514" s="319">
        <f t="shared" si="209"/>
        <v>4842211396</v>
      </c>
      <c r="X514" s="345">
        <f t="shared" si="203"/>
        <v>38.926350532650133</v>
      </c>
      <c r="Y514" s="346">
        <f t="shared" si="204"/>
        <v>-17.065166493735752</v>
      </c>
      <c r="AA514" s="345">
        <f t="shared" si="205"/>
        <v>16.498126251607378</v>
      </c>
      <c r="AB514" s="346">
        <f t="shared" si="206"/>
        <v>-87.144612016577753</v>
      </c>
      <c r="AD514">
        <f t="shared" si="210"/>
        <v>0</v>
      </c>
      <c r="AE514">
        <f t="shared" si="213"/>
        <v>0</v>
      </c>
    </row>
    <row r="515" spans="1:31" x14ac:dyDescent="0.2">
      <c r="A515" s="347">
        <v>69989</v>
      </c>
      <c r="B515" s="364">
        <f t="shared" si="207"/>
        <v>69.989000000000004</v>
      </c>
      <c r="C515" s="337">
        <f t="shared" si="188"/>
        <v>172.93767196737403</v>
      </c>
      <c r="D515" s="338">
        <f t="shared" si="189"/>
        <v>1.5650138644692666</v>
      </c>
      <c r="E515" s="338">
        <f t="shared" si="190"/>
        <v>1.0086647167641913</v>
      </c>
      <c r="F515" s="339">
        <f t="shared" si="191"/>
        <v>0.13116868121267763</v>
      </c>
      <c r="G515" s="338">
        <f t="shared" si="192"/>
        <v>1</v>
      </c>
      <c r="H515" s="339">
        <f t="shared" si="193"/>
        <v>0</v>
      </c>
      <c r="I515" s="337">
        <f t="shared" si="194"/>
        <v>9298.4853996183574</v>
      </c>
      <c r="J515" s="340">
        <f t="shared" si="195"/>
        <v>1.5706887823982609</v>
      </c>
      <c r="K515" s="348">
        <f t="shared" si="211"/>
        <v>10.929750772029962</v>
      </c>
      <c r="L515" s="349">
        <f t="shared" si="212"/>
        <v>1.4791747997956939</v>
      </c>
      <c r="M515" s="337">
        <f t="shared" si="196"/>
        <v>1.021805334243759</v>
      </c>
      <c r="N515" s="340">
        <f t="shared" si="197"/>
        <v>0.20696058784205909</v>
      </c>
      <c r="O515" s="341">
        <f t="shared" si="198"/>
        <v>0.99887112224638042</v>
      </c>
      <c r="P515" s="342">
        <f t="shared" si="199"/>
        <v>8.6904759523423011E-2</v>
      </c>
      <c r="Q515" s="343">
        <f t="shared" si="200"/>
        <v>-1.4599937403982635</v>
      </c>
      <c r="R515" s="344">
        <f t="shared" si="201"/>
        <v>-104.23388671361796</v>
      </c>
      <c r="S515" s="346">
        <f t="shared" si="202"/>
        <v>75.766113286382037</v>
      </c>
      <c r="U515" s="319">
        <f t="shared" si="208"/>
        <v>69989</v>
      </c>
      <c r="V515" s="319">
        <f t="shared" si="209"/>
        <v>4898460121</v>
      </c>
      <c r="X515" s="345">
        <f t="shared" si="203"/>
        <v>38.923821999411764</v>
      </c>
      <c r="Y515" s="346">
        <f t="shared" si="204"/>
        <v>-17.101333197998375</v>
      </c>
      <c r="AA515" s="345">
        <f t="shared" si="205"/>
        <v>16.448934418284974</v>
      </c>
      <c r="AB515" s="346">
        <f t="shared" si="206"/>
        <v>-87.132553515619577</v>
      </c>
      <c r="AD515">
        <f t="shared" si="210"/>
        <v>0</v>
      </c>
      <c r="AE515">
        <f t="shared" si="213"/>
        <v>0</v>
      </c>
    </row>
    <row r="516" spans="1:31" x14ac:dyDescent="0.2">
      <c r="A516" s="347">
        <v>70392</v>
      </c>
      <c r="B516" s="364">
        <f t="shared" si="207"/>
        <v>70.391999999999996</v>
      </c>
      <c r="C516" s="337">
        <f t="shared" si="188"/>
        <v>173.93342213031295</v>
      </c>
      <c r="D516" s="338">
        <f t="shared" si="189"/>
        <v>1.5650469688109077</v>
      </c>
      <c r="E516" s="338">
        <f t="shared" si="190"/>
        <v>1.0087643530084511</v>
      </c>
      <c r="F516" s="339">
        <f t="shared" si="191"/>
        <v>0.13191524969692556</v>
      </c>
      <c r="G516" s="338">
        <f t="shared" si="192"/>
        <v>1</v>
      </c>
      <c r="H516" s="339">
        <f t="shared" si="193"/>
        <v>0</v>
      </c>
      <c r="I516" s="337">
        <f t="shared" si="194"/>
        <v>9352.026521406493</v>
      </c>
      <c r="J516" s="340">
        <f t="shared" si="195"/>
        <v>1.5706893980987882</v>
      </c>
      <c r="K516" s="348">
        <f t="shared" si="211"/>
        <v>10.992159470421694</v>
      </c>
      <c r="L516" s="349">
        <f t="shared" si="212"/>
        <v>1.4796964349568884</v>
      </c>
      <c r="M516" s="337">
        <f t="shared" si="196"/>
        <v>1.0220544520601631</v>
      </c>
      <c r="N516" s="340">
        <f t="shared" si="197"/>
        <v>0.2081182562930402</v>
      </c>
      <c r="O516" s="341">
        <f t="shared" si="198"/>
        <v>0.99885821742407155</v>
      </c>
      <c r="P516" s="342">
        <f t="shared" si="199"/>
        <v>8.7407567965068059E-2</v>
      </c>
      <c r="Q516" s="343">
        <f t="shared" si="200"/>
        <v>-1.5114247128581673</v>
      </c>
      <c r="R516" s="344">
        <f t="shared" si="201"/>
        <v>-104.25829433122664</v>
      </c>
      <c r="S516" s="346">
        <f t="shared" si="202"/>
        <v>75.741705668773363</v>
      </c>
      <c r="U516" s="319">
        <f t="shared" si="208"/>
        <v>70392</v>
      </c>
      <c r="V516" s="319">
        <f t="shared" si="209"/>
        <v>4955033664</v>
      </c>
      <c r="X516" s="345">
        <f t="shared" si="203"/>
        <v>38.921289525298818</v>
      </c>
      <c r="Y516" s="346">
        <f t="shared" si="204"/>
        <v>-17.137810498216304</v>
      </c>
      <c r="AA516" s="345">
        <f t="shared" si="205"/>
        <v>16.40003591993802</v>
      </c>
      <c r="AB516" s="346">
        <f t="shared" si="206"/>
        <v>-87.120483833010297</v>
      </c>
      <c r="AD516">
        <f t="shared" si="210"/>
        <v>0</v>
      </c>
      <c r="AE516">
        <f t="shared" si="213"/>
        <v>0</v>
      </c>
    </row>
    <row r="517" spans="1:31" x14ac:dyDescent="0.2">
      <c r="A517" s="347">
        <v>70795</v>
      </c>
      <c r="B517" s="364">
        <f t="shared" si="207"/>
        <v>70.795000000000002</v>
      </c>
      <c r="C517" s="337">
        <f t="shared" si="188"/>
        <v>174.92917248169505</v>
      </c>
      <c r="D517" s="338">
        <f t="shared" si="189"/>
        <v>1.5650796962725091</v>
      </c>
      <c r="E517" s="338">
        <f t="shared" si="190"/>
        <v>1.0088645513909127</v>
      </c>
      <c r="F517" s="339">
        <f t="shared" si="191"/>
        <v>0.13266167030179579</v>
      </c>
      <c r="G517" s="338">
        <f t="shared" si="192"/>
        <v>1</v>
      </c>
      <c r="H517" s="339">
        <f t="shared" si="193"/>
        <v>0</v>
      </c>
      <c r="I517" s="337">
        <f t="shared" si="194"/>
        <v>9405.5676431981356</v>
      </c>
      <c r="J517" s="340">
        <f t="shared" si="195"/>
        <v>1.5706900067895744</v>
      </c>
      <c r="K517" s="348">
        <f t="shared" si="211"/>
        <v>11.054571126043708</v>
      </c>
      <c r="L517" s="349">
        <f t="shared" si="212"/>
        <v>1.480212180184358</v>
      </c>
      <c r="M517" s="337">
        <f t="shared" si="196"/>
        <v>1.0223049389614627</v>
      </c>
      <c r="N517" s="340">
        <f t="shared" si="197"/>
        <v>0.20927535898633415</v>
      </c>
      <c r="O517" s="341">
        <f t="shared" si="198"/>
        <v>0.99884524157224575</v>
      </c>
      <c r="P517" s="342">
        <f t="shared" si="199"/>
        <v>8.791041782297794E-2</v>
      </c>
      <c r="Q517" s="343">
        <f t="shared" si="200"/>
        <v>-1.562569727357094</v>
      </c>
      <c r="R517" s="344">
        <f t="shared" si="201"/>
        <v>-104.28299585222913</v>
      </c>
      <c r="S517" s="346">
        <f t="shared" si="202"/>
        <v>75.717004147770865</v>
      </c>
      <c r="U517" s="319">
        <f t="shared" si="208"/>
        <v>70795</v>
      </c>
      <c r="V517" s="319">
        <f t="shared" si="209"/>
        <v>5011932025</v>
      </c>
      <c r="X517" s="345">
        <f t="shared" si="203"/>
        <v>38.918752964906659</v>
      </c>
      <c r="Y517" s="346">
        <f t="shared" si="204"/>
        <v>-17.174592449622356</v>
      </c>
      <c r="AA517" s="345">
        <f t="shared" si="205"/>
        <v>16.35142746583125</v>
      </c>
      <c r="AB517" s="346">
        <f t="shared" si="206"/>
        <v>-87.108403402606754</v>
      </c>
      <c r="AD517">
        <f t="shared" si="210"/>
        <v>0</v>
      </c>
      <c r="AE517">
        <f t="shared" si="213"/>
        <v>0</v>
      </c>
    </row>
    <row r="518" spans="1:31" x14ac:dyDescent="0.2">
      <c r="A518" s="347">
        <v>71207.25</v>
      </c>
      <c r="B518" s="364">
        <f t="shared" si="207"/>
        <v>71.207250000000002</v>
      </c>
      <c r="C518" s="337">
        <f t="shared" si="188"/>
        <v>175.94777833675761</v>
      </c>
      <c r="D518" s="338">
        <f t="shared" si="189"/>
        <v>1.5651127916389806</v>
      </c>
      <c r="E518" s="338">
        <f t="shared" si="190"/>
        <v>1.0089676310778541</v>
      </c>
      <c r="F518" s="339">
        <f t="shared" si="191"/>
        <v>0.13342506955872332</v>
      </c>
      <c r="G518" s="338">
        <f t="shared" si="192"/>
        <v>1</v>
      </c>
      <c r="H518" s="339">
        <f t="shared" si="193"/>
        <v>0</v>
      </c>
      <c r="I518" s="337">
        <f t="shared" si="194"/>
        <v>9460.3376865232967</v>
      </c>
      <c r="J518" s="340">
        <f t="shared" si="195"/>
        <v>1.57069062232271</v>
      </c>
      <c r="K518" s="348">
        <f t="shared" si="211"/>
        <v>11.118418315162682</v>
      </c>
      <c r="L518" s="349">
        <f t="shared" si="212"/>
        <v>1.4807337720947191</v>
      </c>
      <c r="M518" s="337">
        <f t="shared" si="196"/>
        <v>1.0225625907850642</v>
      </c>
      <c r="N518" s="340">
        <f t="shared" si="197"/>
        <v>0.21045843230724243</v>
      </c>
      <c r="O518" s="341">
        <f t="shared" si="198"/>
        <v>0.99883189444886089</v>
      </c>
      <c r="P518" s="342">
        <f t="shared" si="199"/>
        <v>8.8424852619223962E-2</v>
      </c>
      <c r="Q518" s="343">
        <f t="shared" si="200"/>
        <v>-1.6145963063200921</v>
      </c>
      <c r="R518" s="344">
        <f t="shared" si="201"/>
        <v>-104.30856282473434</v>
      </c>
      <c r="S518" s="346">
        <f t="shared" si="202"/>
        <v>75.691437175265662</v>
      </c>
      <c r="U518" s="319">
        <f t="shared" si="208"/>
        <v>71207.25</v>
      </c>
      <c r="V518" s="319">
        <f t="shared" si="209"/>
        <v>5070472452.5625</v>
      </c>
      <c r="X518" s="345">
        <f t="shared" si="203"/>
        <v>38.91615380840318</v>
      </c>
      <c r="Y518" s="346">
        <f t="shared" si="204"/>
        <v>-17.212527810167238</v>
      </c>
      <c r="AA518" s="345">
        <f t="shared" si="205"/>
        <v>16.302000043371731</v>
      </c>
      <c r="AB518" s="346">
        <f t="shared" si="206"/>
        <v>-87.096035014567079</v>
      </c>
      <c r="AD518">
        <f t="shared" si="210"/>
        <v>0</v>
      </c>
      <c r="AE518">
        <f t="shared" si="213"/>
        <v>0</v>
      </c>
    </row>
    <row r="519" spans="1:31" x14ac:dyDescent="0.2">
      <c r="A519" s="347">
        <v>71619.5</v>
      </c>
      <c r="B519" s="364">
        <f t="shared" si="207"/>
        <v>71.619500000000002</v>
      </c>
      <c r="C519" s="337">
        <f t="shared" si="188"/>
        <v>176.96638438231781</v>
      </c>
      <c r="D519" s="338">
        <f t="shared" si="189"/>
        <v>1.5651455060162904</v>
      </c>
      <c r="E519" s="338">
        <f t="shared" si="190"/>
        <v>1.0090712986490302</v>
      </c>
      <c r="F519" s="339">
        <f t="shared" si="191"/>
        <v>0.13418831240377585</v>
      </c>
      <c r="G519" s="338">
        <f t="shared" si="192"/>
        <v>1</v>
      </c>
      <c r="H519" s="339">
        <f t="shared" si="193"/>
        <v>0</v>
      </c>
      <c r="I519" s="337">
        <f t="shared" si="194"/>
        <v>9515.1077298520031</v>
      </c>
      <c r="J519" s="340">
        <f t="shared" si="195"/>
        <v>1.5706912307696879</v>
      </c>
      <c r="K519" s="348">
        <f t="shared" si="211"/>
        <v>11.182268494595245</v>
      </c>
      <c r="L519" s="349">
        <f t="shared" si="212"/>
        <v>1.4812494076179321</v>
      </c>
      <c r="M519" s="337">
        <f t="shared" si="196"/>
        <v>1.0228216731289232</v>
      </c>
      <c r="N519" s="340">
        <f t="shared" si="197"/>
        <v>0.2116409079338423</v>
      </c>
      <c r="O519" s="341">
        <f t="shared" si="198"/>
        <v>0.99881847310985661</v>
      </c>
      <c r="P519" s="342">
        <f t="shared" si="199"/>
        <v>8.893933125436701E-2</v>
      </c>
      <c r="Q519" s="343">
        <f t="shared" si="200"/>
        <v>-1.6663307309962141</v>
      </c>
      <c r="R519" s="344">
        <f t="shared" si="201"/>
        <v>-104.33442606616943</v>
      </c>
      <c r="S519" s="346">
        <f t="shared" si="202"/>
        <v>75.665573933830572</v>
      </c>
      <c r="U519" s="319">
        <f t="shared" si="208"/>
        <v>71619.5</v>
      </c>
      <c r="V519" s="319">
        <f t="shared" si="209"/>
        <v>5129352780.25</v>
      </c>
      <c r="X519" s="345">
        <f t="shared" si="203"/>
        <v>38.913550082675968</v>
      </c>
      <c r="Y519" s="346">
        <f t="shared" si="204"/>
        <v>-17.250769795188965</v>
      </c>
      <c r="AA519" s="345">
        <f t="shared" si="205"/>
        <v>16.25286934442282</v>
      </c>
      <c r="AB519" s="346">
        <f t="shared" si="206"/>
        <v>-87.083656270980455</v>
      </c>
      <c r="AD519">
        <f t="shared" si="210"/>
        <v>0</v>
      </c>
      <c r="AE519">
        <f t="shared" si="213"/>
        <v>0</v>
      </c>
    </row>
    <row r="520" spans="1:31" x14ac:dyDescent="0.2">
      <c r="A520" s="347">
        <v>72031.75</v>
      </c>
      <c r="B520" s="364">
        <f t="shared" si="207"/>
        <v>72.031750000000002</v>
      </c>
      <c r="C520" s="337">
        <f t="shared" si="188"/>
        <v>177.984990615105</v>
      </c>
      <c r="D520" s="338">
        <f t="shared" si="189"/>
        <v>1.5651778459455588</v>
      </c>
      <c r="E520" s="338">
        <f t="shared" si="190"/>
        <v>1.0091755539232696</v>
      </c>
      <c r="F520" s="339">
        <f t="shared" si="191"/>
        <v>0.13495139799605477</v>
      </c>
      <c r="G520" s="338">
        <f t="shared" si="192"/>
        <v>1</v>
      </c>
      <c r="H520" s="339">
        <f t="shared" si="193"/>
        <v>0</v>
      </c>
      <c r="I520" s="337">
        <f t="shared" si="194"/>
        <v>9569.8777731841892</v>
      </c>
      <c r="J520" s="340">
        <f t="shared" si="195"/>
        <v>1.5706918322521741</v>
      </c>
      <c r="K520" s="348">
        <f t="shared" si="211"/>
        <v>11.246121613408626</v>
      </c>
      <c r="L520" s="349">
        <f t="shared" si="212"/>
        <v>1.4817591879347898</v>
      </c>
      <c r="M520" s="337">
        <f t="shared" si="196"/>
        <v>1.0230821849062579</v>
      </c>
      <c r="N520" s="340">
        <f t="shared" si="197"/>
        <v>0.2128227830146803</v>
      </c>
      <c r="O520" s="341">
        <f t="shared" si="198"/>
        <v>0.9988049776123531</v>
      </c>
      <c r="P520" s="342">
        <f t="shared" si="199"/>
        <v>8.9453853980993592E-2</v>
      </c>
      <c r="Q520" s="343">
        <f t="shared" si="200"/>
        <v>-1.7177764875105024</v>
      </c>
      <c r="R520" s="344">
        <f t="shared" si="201"/>
        <v>-104.36058006032742</v>
      </c>
      <c r="S520" s="346">
        <f t="shared" si="202"/>
        <v>75.639419939672578</v>
      </c>
      <c r="U520" s="319">
        <f t="shared" si="208"/>
        <v>72031.75</v>
      </c>
      <c r="V520" s="319">
        <f t="shared" si="209"/>
        <v>5188573008.0625</v>
      </c>
      <c r="X520" s="345">
        <f t="shared" si="203"/>
        <v>38.910941646549148</v>
      </c>
      <c r="Y520" s="346">
        <f t="shared" si="204"/>
        <v>-17.289312451049828</v>
      </c>
      <c r="AA520" s="345">
        <f t="shared" si="205"/>
        <v>16.20403202403536</v>
      </c>
      <c r="AB520" s="346">
        <f t="shared" si="206"/>
        <v>-87.071267609277584</v>
      </c>
      <c r="AD520">
        <f t="shared" si="210"/>
        <v>0</v>
      </c>
      <c r="AE520">
        <f t="shared" si="213"/>
        <v>0</v>
      </c>
    </row>
    <row r="521" spans="1:31" x14ac:dyDescent="0.2">
      <c r="A521" s="347">
        <v>72444</v>
      </c>
      <c r="B521" s="364">
        <f t="shared" si="207"/>
        <v>72.444000000000003</v>
      </c>
      <c r="C521" s="337">
        <f t="shared" si="188"/>
        <v>179.00359703192305</v>
      </c>
      <c r="D521" s="338">
        <f t="shared" si="189"/>
        <v>1.5652098178190219</v>
      </c>
      <c r="E521" s="338">
        <f t="shared" si="190"/>
        <v>1.0092803967184492</v>
      </c>
      <c r="F521" s="339">
        <f t="shared" si="191"/>
        <v>0.13571432549574058</v>
      </c>
      <c r="G521" s="338">
        <f t="shared" si="192"/>
        <v>1</v>
      </c>
      <c r="H521" s="339">
        <f t="shared" si="193"/>
        <v>0</v>
      </c>
      <c r="I521" s="337">
        <f t="shared" si="194"/>
        <v>9624.6478165198005</v>
      </c>
      <c r="J521" s="340">
        <f t="shared" si="195"/>
        <v>1.570692426889065</v>
      </c>
      <c r="K521" s="348">
        <f t="shared" si="211"/>
        <v>11.309977621817939</v>
      </c>
      <c r="L521" s="349">
        <f t="shared" si="212"/>
        <v>1.4822632119533539</v>
      </c>
      <c r="M521" s="337">
        <f t="shared" si="196"/>
        <v>1.0233441250253992</v>
      </c>
      <c r="N521" s="340">
        <f t="shared" si="197"/>
        <v>0.21400405470790945</v>
      </c>
      <c r="O521" s="341">
        <f t="shared" si="198"/>
        <v>0.99879140801380439</v>
      </c>
      <c r="P521" s="342">
        <f t="shared" si="199"/>
        <v>8.9968421051668065E-2</v>
      </c>
      <c r="Q521" s="343">
        <f t="shared" si="200"/>
        <v>-1.7689370002476323</v>
      </c>
      <c r="R521" s="344">
        <f t="shared" si="201"/>
        <v>-104.38701941301733</v>
      </c>
      <c r="S521" s="346">
        <f t="shared" si="202"/>
        <v>75.612980586982673</v>
      </c>
      <c r="U521" s="319">
        <f t="shared" si="208"/>
        <v>72444</v>
      </c>
      <c r="V521" s="319">
        <f t="shared" si="209"/>
        <v>5248133136</v>
      </c>
      <c r="X521" s="345">
        <f t="shared" si="203"/>
        <v>38.908328363406206</v>
      </c>
      <c r="Y521" s="346">
        <f t="shared" si="204"/>
        <v>-17.328149954721749</v>
      </c>
      <c r="AA521" s="345">
        <f t="shared" si="205"/>
        <v>16.155484794441172</v>
      </c>
      <c r="AB521" s="346">
        <f t="shared" si="206"/>
        <v>-87.058869458295575</v>
      </c>
      <c r="AD521">
        <f t="shared" si="210"/>
        <v>0</v>
      </c>
      <c r="AE521">
        <f t="shared" si="213"/>
        <v>0</v>
      </c>
    </row>
    <row r="522" spans="1:31" x14ac:dyDescent="0.2">
      <c r="A522" s="347">
        <v>72865.75</v>
      </c>
      <c r="B522" s="364">
        <f t="shared" si="207"/>
        <v>72.865750000000006</v>
      </c>
      <c r="C522" s="337">
        <f t="shared" si="188"/>
        <v>180.04567667645802</v>
      </c>
      <c r="D522" s="338">
        <f t="shared" si="189"/>
        <v>1.5652421520990409</v>
      </c>
      <c r="E522" s="338">
        <f t="shared" si="190"/>
        <v>1.009388263333743</v>
      </c>
      <c r="F522" s="339">
        <f t="shared" si="191"/>
        <v>0.13649466962827755</v>
      </c>
      <c r="G522" s="338">
        <f t="shared" si="192"/>
        <v>1</v>
      </c>
      <c r="H522" s="339">
        <f t="shared" si="193"/>
        <v>0</v>
      </c>
      <c r="I522" s="337">
        <f t="shared" si="194"/>
        <v>9680.6799954845774</v>
      </c>
      <c r="J522" s="340">
        <f t="shared" si="195"/>
        <v>1.570693028266049</v>
      </c>
      <c r="K522" s="348">
        <f t="shared" si="211"/>
        <v>11.375308084780011</v>
      </c>
      <c r="L522" s="349">
        <f t="shared" si="212"/>
        <v>1.482772994858377</v>
      </c>
      <c r="M522" s="337">
        <f t="shared" si="196"/>
        <v>1.0236135783133997</v>
      </c>
      <c r="N522" s="340">
        <f t="shared" si="197"/>
        <v>0.21521192058602315</v>
      </c>
      <c r="O522" s="341">
        <f t="shared" si="198"/>
        <v>0.99877744909190791</v>
      </c>
      <c r="P522" s="342">
        <f t="shared" si="199"/>
        <v>9.0494892096450785E-2</v>
      </c>
      <c r="Q522" s="343">
        <f t="shared" si="200"/>
        <v>-1.8209847979059095</v>
      </c>
      <c r="R522" s="344">
        <f t="shared" si="201"/>
        <v>-104.41435783883807</v>
      </c>
      <c r="S522" s="346">
        <f t="shared" si="202"/>
        <v>75.585642161161928</v>
      </c>
      <c r="U522" s="319">
        <f t="shared" si="208"/>
        <v>72865.75</v>
      </c>
      <c r="V522" s="319">
        <f t="shared" si="209"/>
        <v>5309417523.0625</v>
      </c>
      <c r="X522" s="345">
        <f t="shared" si="203"/>
        <v>38.905649705377613</v>
      </c>
      <c r="Y522" s="346">
        <f t="shared" si="204"/>
        <v>-17.368181619238612</v>
      </c>
      <c r="AA522" s="345">
        <f t="shared" si="205"/>
        <v>16.106115654811479</v>
      </c>
      <c r="AB522" s="346">
        <f t="shared" si="206"/>
        <v>-87.046176219599474</v>
      </c>
      <c r="AD522">
        <f t="shared" si="210"/>
        <v>0</v>
      </c>
      <c r="AE522">
        <f t="shared" si="213"/>
        <v>0</v>
      </c>
    </row>
    <row r="523" spans="1:31" x14ac:dyDescent="0.2">
      <c r="A523" s="347">
        <v>73287.5</v>
      </c>
      <c r="B523" s="364">
        <f t="shared" si="207"/>
        <v>73.287499999999994</v>
      </c>
      <c r="C523" s="337">
        <f t="shared" si="188"/>
        <v>181.08775650706534</v>
      </c>
      <c r="D523" s="338">
        <f t="shared" si="189"/>
        <v>1.5652741142401734</v>
      </c>
      <c r="E523" s="338">
        <f t="shared" si="190"/>
        <v>1.0094967444712906</v>
      </c>
      <c r="F523" s="339">
        <f t="shared" si="191"/>
        <v>0.13727484652329275</v>
      </c>
      <c r="G523" s="338">
        <f t="shared" si="192"/>
        <v>1</v>
      </c>
      <c r="H523" s="339">
        <f t="shared" si="193"/>
        <v>0</v>
      </c>
      <c r="I523" s="337">
        <f t="shared" si="194"/>
        <v>9736.712174452814</v>
      </c>
      <c r="J523" s="340">
        <f t="shared" si="195"/>
        <v>1.5706936227215049</v>
      </c>
      <c r="K523" s="348">
        <f t="shared" si="211"/>
        <v>11.440641470178823</v>
      </c>
      <c r="L523" s="349">
        <f t="shared" si="212"/>
        <v>1.4832769555197747</v>
      </c>
      <c r="M523" s="337">
        <f t="shared" si="196"/>
        <v>1.0238845242048782</v>
      </c>
      <c r="N523" s="340">
        <f t="shared" si="197"/>
        <v>0.2164191489605598</v>
      </c>
      <c r="O523" s="341">
        <f t="shared" si="198"/>
        <v>0.99876341273712643</v>
      </c>
      <c r="P523" s="342">
        <f t="shared" si="199"/>
        <v>9.1021410087279861E-2</v>
      </c>
      <c r="Q523" s="343">
        <f t="shared" si="200"/>
        <v>-1.8727411128329319</v>
      </c>
      <c r="R523" s="344">
        <f t="shared" si="201"/>
        <v>-104.4419838816344</v>
      </c>
      <c r="S523" s="346">
        <f t="shared" si="202"/>
        <v>75.5580161183656</v>
      </c>
      <c r="U523" s="319">
        <f t="shared" si="208"/>
        <v>73287.5</v>
      </c>
      <c r="V523" s="319">
        <f t="shared" si="209"/>
        <v>5371057656.25</v>
      </c>
      <c r="X523" s="345">
        <f t="shared" si="203"/>
        <v>38.902965699068439</v>
      </c>
      <c r="Y523" s="346">
        <f t="shared" si="204"/>
        <v>-17.408509950904108</v>
      </c>
      <c r="AA523" s="345">
        <f t="shared" si="205"/>
        <v>16.057043346193634</v>
      </c>
      <c r="AB523" s="346">
        <f t="shared" si="206"/>
        <v>-87.033473930730281</v>
      </c>
      <c r="AD523">
        <f t="shared" si="210"/>
        <v>0</v>
      </c>
      <c r="AE523">
        <f t="shared" si="213"/>
        <v>0</v>
      </c>
    </row>
    <row r="524" spans="1:31" x14ac:dyDescent="0.2">
      <c r="A524" s="347">
        <v>73709.25</v>
      </c>
      <c r="B524" s="364">
        <f t="shared" si="207"/>
        <v>73.709249999999997</v>
      </c>
      <c r="C524" s="337">
        <f t="shared" si="188"/>
        <v>182.12983652055104</v>
      </c>
      <c r="D524" s="338">
        <f t="shared" si="189"/>
        <v>1.565305710630079</v>
      </c>
      <c r="E524" s="338">
        <f t="shared" si="190"/>
        <v>1.0096058399330023</v>
      </c>
      <c r="F524" s="339">
        <f t="shared" si="191"/>
        <v>0.13805485528509859</v>
      </c>
      <c r="G524" s="338">
        <f t="shared" si="192"/>
        <v>1</v>
      </c>
      <c r="H524" s="339">
        <f t="shared" si="193"/>
        <v>0</v>
      </c>
      <c r="I524" s="337">
        <f t="shared" si="194"/>
        <v>9792.7443534244521</v>
      </c>
      <c r="J524" s="340">
        <f t="shared" si="195"/>
        <v>1.5706942103742441</v>
      </c>
      <c r="K524" s="348">
        <f t="shared" si="211"/>
        <v>11.505977728231727</v>
      </c>
      <c r="L524" s="349">
        <f t="shared" si="212"/>
        <v>1.4837751928635217</v>
      </c>
      <c r="M524" s="337">
        <f t="shared" si="196"/>
        <v>1.0241569615152075</v>
      </c>
      <c r="N524" s="340">
        <f t="shared" si="197"/>
        <v>0.21762573682005582</v>
      </c>
      <c r="O524" s="341">
        <f t="shared" si="198"/>
        <v>0.99874929901206244</v>
      </c>
      <c r="P524" s="342">
        <f t="shared" si="199"/>
        <v>9.1547975294512765E-2</v>
      </c>
      <c r="Q524" s="343">
        <f t="shared" si="200"/>
        <v>-1.9242094203586539</v>
      </c>
      <c r="R524" s="344">
        <f t="shared" si="201"/>
        <v>-104.46989214042402</v>
      </c>
      <c r="S524" s="346">
        <f t="shared" si="202"/>
        <v>75.530107859575978</v>
      </c>
      <c r="U524" s="319">
        <f t="shared" si="208"/>
        <v>73709.25</v>
      </c>
      <c r="V524" s="319">
        <f t="shared" si="209"/>
        <v>5433053535.5625</v>
      </c>
      <c r="X524" s="345">
        <f t="shared" si="203"/>
        <v>38.900276212048148</v>
      </c>
      <c r="Y524" s="346">
        <f t="shared" si="204"/>
        <v>-17.449129115940625</v>
      </c>
      <c r="AA524" s="345">
        <f t="shared" si="205"/>
        <v>16.008264525688201</v>
      </c>
      <c r="AB524" s="346">
        <f t="shared" si="206"/>
        <v>-87.020763024483372</v>
      </c>
      <c r="AD524">
        <f t="shared" si="210"/>
        <v>0</v>
      </c>
      <c r="AE524">
        <f t="shared" si="213"/>
        <v>0</v>
      </c>
    </row>
    <row r="525" spans="1:31" x14ac:dyDescent="0.2">
      <c r="A525" s="347">
        <v>74131</v>
      </c>
      <c r="B525" s="364">
        <f t="shared" si="207"/>
        <v>74.131</v>
      </c>
      <c r="C525" s="337">
        <f t="shared" ref="C525:C588" si="214">SQRT(1+(A525/pole1)^2)</f>
        <v>183.17191671379393</v>
      </c>
      <c r="D525" s="338">
        <f t="shared" ref="D525:D588" si="215">ATAN(A525/pole1)</f>
        <v>1.5653369475110617</v>
      </c>
      <c r="E525" s="338">
        <f t="shared" ref="E525:E588" si="216">SQRT(1+(A525/Zero1)^2)</f>
        <v>1.009715549519753</v>
      </c>
      <c r="F525" s="339">
        <f t="shared" ref="F525:F588" si="217">ATAN(A525/Zero1)</f>
        <v>0.13883469501921183</v>
      </c>
      <c r="G525" s="338">
        <f t="shared" ref="G525:G588" si="218">IF(VIN_nom&gt;Vout, 1, SQRT(1+(A525/z_RHP)^2))</f>
        <v>1</v>
      </c>
      <c r="H525" s="339">
        <f t="shared" ref="H525:H588" si="219">IF(VIN_nom&gt;Vout, 0, -ATAN(A525/z_RHP))</f>
        <v>0</v>
      </c>
      <c r="I525" s="337">
        <f t="shared" ref="I525:I588" si="220">SQRT(1+(A525/Pole2)^2)</f>
        <v>9848.7765323994336</v>
      </c>
      <c r="J525" s="340">
        <f t="shared" ref="J525:J588" si="221">ATAN(A525/Pole2)</f>
        <v>1.570694791340373</v>
      </c>
      <c r="K525" s="348">
        <f t="shared" si="211"/>
        <v>11.571316810278281</v>
      </c>
      <c r="L525" s="349">
        <f t="shared" si="212"/>
        <v>1.484267803592709</v>
      </c>
      <c r="M525" s="337">
        <f t="shared" ref="M525:M588" si="222">SQRT(1+(A525/pole4)^2)</f>
        <v>1.0244308890545033</v>
      </c>
      <c r="N525" s="340">
        <f t="shared" ref="N525:N588" si="223">ATAN(A525/pole4)</f>
        <v>0.21883168116370202</v>
      </c>
      <c r="O525" s="341">
        <f t="shared" ref="O525:O588" si="224">SQRT((1-(V525/pterm2))^2+(A525/pterm1)^2)</f>
        <v>0.99873510797968412</v>
      </c>
      <c r="P525" s="342">
        <f t="shared" ref="P525:P588" si="225">IF((ATAN((A525/pterm1)/(1-A525^2/pterm2))&gt;0),ATAN((A525/pterm1)/(1-A525^2/pterm2)),PI()+ATAN((A525/pterm1)/(1-A525^2/pterm2)))</f>
        <v>9.2074587988482157E-2</v>
      </c>
      <c r="Q525" s="343">
        <f t="shared" ref="Q525:Q588" si="226">20*LOG10(((E525*K525*G525)/(C525*I525*O525*M525))*Adc)</f>
        <v>-1.9753931343239508</v>
      </c>
      <c r="R525" s="344">
        <f t="shared" ref="R525:R588" si="227">((F525+L525+H525)-(D525+J525+P525+N525))*radconv</f>
        <v>-104.49807733364337</v>
      </c>
      <c r="S525" s="346">
        <f t="shared" ref="S525:S588" si="228">IF(R525&gt;0,R525,R525+180)</f>
        <v>75.501922666356634</v>
      </c>
      <c r="U525" s="319">
        <f t="shared" si="208"/>
        <v>74131</v>
      </c>
      <c r="V525" s="319">
        <f t="shared" si="209"/>
        <v>5495405161</v>
      </c>
      <c r="X525" s="345">
        <f t="shared" ref="X525:X588" si="229">20*LOG10((K525/(I525*M525))*AEA)</f>
        <v>38.897581116249981</v>
      </c>
      <c r="Y525" s="346">
        <f t="shared" ref="Y525:Y588" si="230">(L525-(J525+N525))*radconv</f>
        <v>-17.490033408387905</v>
      </c>
      <c r="AA525" s="345">
        <f t="shared" ref="AA525:AA588" si="231">20*LOG10((E525*G525/(C525*O525))*Acs*Am)</f>
        <v>15.959775907521079</v>
      </c>
      <c r="AB525" s="346">
        <f t="shared" ref="AB525:AB588" si="232">(F525+H525-(D525+P525))*radconv</f>
        <v>-87.008043925255464</v>
      </c>
      <c r="AD525">
        <f t="shared" si="210"/>
        <v>0</v>
      </c>
      <c r="AE525">
        <f t="shared" si="213"/>
        <v>0</v>
      </c>
    </row>
    <row r="526" spans="1:31" x14ac:dyDescent="0.2">
      <c r="A526" s="347">
        <v>74562.75</v>
      </c>
      <c r="B526" s="364">
        <f t="shared" ref="B526:B589" si="233">A526/1000</f>
        <v>74.562749999999994</v>
      </c>
      <c r="C526" s="337">
        <f t="shared" si="214"/>
        <v>184.23870557122083</v>
      </c>
      <c r="D526" s="338">
        <f t="shared" si="215"/>
        <v>1.5653685590138164</v>
      </c>
      <c r="E526" s="338">
        <f t="shared" si="216"/>
        <v>1.0098284963315132</v>
      </c>
      <c r="F526" s="339">
        <f t="shared" si="217"/>
        <v>0.13963284930254471</v>
      </c>
      <c r="G526" s="338">
        <f t="shared" si="218"/>
        <v>1</v>
      </c>
      <c r="H526" s="339">
        <f t="shared" si="219"/>
        <v>0</v>
      </c>
      <c r="I526" s="337">
        <f t="shared" si="220"/>
        <v>9906.1372751946528</v>
      </c>
      <c r="J526" s="340">
        <f t="shared" si="221"/>
        <v>1.5706953792737874</v>
      </c>
      <c r="K526" s="348">
        <f t="shared" si="211"/>
        <v>11.638208005167389</v>
      </c>
      <c r="L526" s="349">
        <f t="shared" si="212"/>
        <v>1.4847663648606924</v>
      </c>
      <c r="M526" s="337">
        <f t="shared" si="222"/>
        <v>1.0247128540171937</v>
      </c>
      <c r="N526" s="340">
        <f t="shared" si="223"/>
        <v>0.22006554962118632</v>
      </c>
      <c r="O526" s="341">
        <f t="shared" si="224"/>
        <v>0.99872050045514171</v>
      </c>
      <c r="P526" s="342">
        <f t="shared" si="225"/>
        <v>9.2613736524594245E-2</v>
      </c>
      <c r="Q526" s="343">
        <f t="shared" si="226"/>
        <v>-2.0274991571342009</v>
      </c>
      <c r="R526" s="344">
        <f t="shared" si="227"/>
        <v>-104.52721228789052</v>
      </c>
      <c r="S526" s="346">
        <f t="shared" si="228"/>
        <v>75.472787712109479</v>
      </c>
      <c r="U526" s="319">
        <f t="shared" ref="U526:U589" si="234">IF(Q526&lt;0,A526,1000000000)</f>
        <v>74562.75</v>
      </c>
      <c r="V526" s="319">
        <f t="shared" ref="V526:V589" si="235">A526^2</f>
        <v>5559603687.5625</v>
      </c>
      <c r="X526" s="345">
        <f t="shared" si="229"/>
        <v>38.894816178653201</v>
      </c>
      <c r="Y526" s="346">
        <f t="shared" si="230"/>
        <v>-17.532197093143392</v>
      </c>
      <c r="AA526" s="345">
        <f t="shared" si="231"/>
        <v>15.910434822307604</v>
      </c>
      <c r="AB526" s="346">
        <f t="shared" si="232"/>
        <v>-86.995015194747111</v>
      </c>
      <c r="AD526">
        <f t="shared" ref="AD526:AD589" si="236">SUM((Q527&lt;0)*(Q526&gt;0))*A526</f>
        <v>0</v>
      </c>
      <c r="AE526">
        <f t="shared" si="213"/>
        <v>0</v>
      </c>
    </row>
    <row r="527" spans="1:31" x14ac:dyDescent="0.2">
      <c r="A527" s="347">
        <v>74994.5</v>
      </c>
      <c r="B527" s="364">
        <f t="shared" si="233"/>
        <v>74.994500000000002</v>
      </c>
      <c r="C527" s="337">
        <f t="shared" si="214"/>
        <v>185.30549461063535</v>
      </c>
      <c r="D527" s="338">
        <f t="shared" si="215"/>
        <v>1.5653998065467725</v>
      </c>
      <c r="E527" s="338">
        <f t="shared" si="216"/>
        <v>1.0099420863106512</v>
      </c>
      <c r="F527" s="339">
        <f t="shared" si="217"/>
        <v>0.14043082455447489</v>
      </c>
      <c r="G527" s="338">
        <f t="shared" si="218"/>
        <v>1</v>
      </c>
      <c r="H527" s="339">
        <f t="shared" si="219"/>
        <v>0</v>
      </c>
      <c r="I527" s="337">
        <f t="shared" si="220"/>
        <v>9963.4980179932591</v>
      </c>
      <c r="J527" s="340">
        <f t="shared" si="221"/>
        <v>1.570695960437632</v>
      </c>
      <c r="K527" s="348">
        <f t="shared" si="211"/>
        <v>11.705102059824554</v>
      </c>
      <c r="L527" s="349">
        <f t="shared" si="212"/>
        <v>1.4852592277461463</v>
      </c>
      <c r="M527" s="337">
        <f t="shared" si="222"/>
        <v>1.0249963781751865</v>
      </c>
      <c r="N527" s="340">
        <f t="shared" si="223"/>
        <v>0.22129873735476005</v>
      </c>
      <c r="O527" s="341">
        <f t="shared" si="224"/>
        <v>0.99870581204851527</v>
      </c>
      <c r="P527" s="342">
        <f t="shared" si="225"/>
        <v>9.3152935399275008E-2</v>
      </c>
      <c r="Q527" s="343">
        <f t="shared" si="226"/>
        <v>-2.0793139794254056</v>
      </c>
      <c r="R527" s="344">
        <f t="shared" si="227"/>
        <v>-104.55662663293002</v>
      </c>
      <c r="S527" s="346">
        <f t="shared" si="228"/>
        <v>75.443373367069981</v>
      </c>
      <c r="U527" s="319">
        <f t="shared" si="234"/>
        <v>74994.5</v>
      </c>
      <c r="V527" s="319">
        <f t="shared" si="235"/>
        <v>5624175030.25</v>
      </c>
      <c r="X527" s="345">
        <f t="shared" si="229"/>
        <v>38.892045104936763</v>
      </c>
      <c r="Y527" s="346">
        <f t="shared" si="230"/>
        <v>-17.574647880693334</v>
      </c>
      <c r="AA527" s="345">
        <f t="shared" si="231"/>
        <v>15.861391073732833</v>
      </c>
      <c r="AB527" s="346">
        <f t="shared" si="232"/>
        <v>-86.981978752236714</v>
      </c>
      <c r="AD527">
        <f t="shared" si="236"/>
        <v>0</v>
      </c>
      <c r="AE527">
        <f t="shared" si="213"/>
        <v>0</v>
      </c>
    </row>
    <row r="528" spans="1:31" x14ac:dyDescent="0.2">
      <c r="A528" s="347">
        <v>75426.25</v>
      </c>
      <c r="B528" s="364">
        <f t="shared" si="233"/>
        <v>75.426249999999996</v>
      </c>
      <c r="C528" s="337">
        <f t="shared" si="214"/>
        <v>186.37228382891234</v>
      </c>
      <c r="D528" s="338">
        <f t="shared" si="215"/>
        <v>1.565430696359924</v>
      </c>
      <c r="E528" s="338">
        <f t="shared" si="216"/>
        <v>1.010056319240177</v>
      </c>
      <c r="F528" s="339">
        <f t="shared" si="217"/>
        <v>0.14122861981933105</v>
      </c>
      <c r="G528" s="338">
        <f t="shared" si="218"/>
        <v>1</v>
      </c>
      <c r="H528" s="339">
        <f t="shared" si="219"/>
        <v>0</v>
      </c>
      <c r="I528" s="337">
        <f t="shared" si="220"/>
        <v>10020.85876079519</v>
      </c>
      <c r="J528" s="340">
        <f t="shared" si="221"/>
        <v>1.5706965349481568</v>
      </c>
      <c r="K528" s="348">
        <f t="shared" si="211"/>
        <v>11.771998925498123</v>
      </c>
      <c r="L528" s="349">
        <f t="shared" si="212"/>
        <v>1.4857464891543397</v>
      </c>
      <c r="M528" s="337">
        <f t="shared" si="222"/>
        <v>1.0252814602349749</v>
      </c>
      <c r="N528" s="340">
        <f t="shared" si="223"/>
        <v>0.22253124117996778</v>
      </c>
      <c r="O528" s="341">
        <f t="shared" si="224"/>
        <v>0.9986910428285507</v>
      </c>
      <c r="P528" s="342">
        <f t="shared" si="225"/>
        <v>9.3692184902463671E-2</v>
      </c>
      <c r="Q528" s="343">
        <f t="shared" si="226"/>
        <v>-2.1308410727175295</v>
      </c>
      <c r="R528" s="344">
        <f t="shared" si="227"/>
        <v>-104.58631507017033</v>
      </c>
      <c r="S528" s="346">
        <f t="shared" si="228"/>
        <v>75.413684929829671</v>
      </c>
      <c r="U528" s="319">
        <f t="shared" si="234"/>
        <v>75426.25</v>
      </c>
      <c r="V528" s="319">
        <f t="shared" si="235"/>
        <v>5689119189.0625</v>
      </c>
      <c r="X528" s="345">
        <f t="shared" si="229"/>
        <v>38.889267770993364</v>
      </c>
      <c r="Y528" s="346">
        <f t="shared" si="230"/>
        <v>-17.617380042979558</v>
      </c>
      <c r="AA528" s="345">
        <f t="shared" si="231"/>
        <v>15.812641314384114</v>
      </c>
      <c r="AB528" s="346">
        <f t="shared" si="232"/>
        <v>-86.968935027190795</v>
      </c>
      <c r="AD528">
        <f t="shared" si="236"/>
        <v>0</v>
      </c>
      <c r="AE528">
        <f t="shared" si="213"/>
        <v>0</v>
      </c>
    </row>
    <row r="529" spans="1:31" x14ac:dyDescent="0.2">
      <c r="A529" s="347">
        <v>75858</v>
      </c>
      <c r="B529" s="364">
        <f t="shared" si="233"/>
        <v>75.858000000000004</v>
      </c>
      <c r="C529" s="337">
        <f t="shared" si="214"/>
        <v>187.43907322299793</v>
      </c>
      <c r="D529" s="338">
        <f t="shared" si="215"/>
        <v>1.5654612345609833</v>
      </c>
      <c r="E529" s="338">
        <f t="shared" si="216"/>
        <v>1.0101711949019707</v>
      </c>
      <c r="F529" s="339">
        <f t="shared" si="217"/>
        <v>0.14202623414278936</v>
      </c>
      <c r="G529" s="338">
        <f t="shared" si="218"/>
        <v>1</v>
      </c>
      <c r="H529" s="339">
        <f t="shared" si="219"/>
        <v>0</v>
      </c>
      <c r="I529" s="337">
        <f t="shared" si="220"/>
        <v>10078.219503600392</v>
      </c>
      <c r="J529" s="340">
        <f t="shared" si="221"/>
        <v>1.5706971029189647</v>
      </c>
      <c r="K529" s="348">
        <f t="shared" si="211"/>
        <v>11.838898554536312</v>
      </c>
      <c r="L529" s="349">
        <f t="shared" si="212"/>
        <v>1.4862282438109382</v>
      </c>
      <c r="M529" s="337">
        <f t="shared" si="222"/>
        <v>1.0255680988973868</v>
      </c>
      <c r="N529" s="340">
        <f t="shared" si="223"/>
        <v>0.22376305792419637</v>
      </c>
      <c r="O529" s="341">
        <f t="shared" si="224"/>
        <v>0.99867619286439524</v>
      </c>
      <c r="P529" s="342">
        <f t="shared" si="225"/>
        <v>9.4231485324071357E-2</v>
      </c>
      <c r="Q529" s="343">
        <f t="shared" si="226"/>
        <v>-2.1820838471247002</v>
      </c>
      <c r="R529" s="344">
        <f t="shared" si="227"/>
        <v>-104.61627241819777</v>
      </c>
      <c r="S529" s="346">
        <f t="shared" si="228"/>
        <v>75.383727581802233</v>
      </c>
      <c r="U529" s="319">
        <f t="shared" si="234"/>
        <v>75858</v>
      </c>
      <c r="V529" s="319">
        <f t="shared" si="235"/>
        <v>5754436164</v>
      </c>
      <c r="X529" s="345">
        <f t="shared" si="229"/>
        <v>38.886484056903583</v>
      </c>
      <c r="Y529" s="346">
        <f t="shared" si="230"/>
        <v>-17.660387977352851</v>
      </c>
      <c r="AA529" s="345">
        <f t="shared" si="231"/>
        <v>15.764182254066723</v>
      </c>
      <c r="AB529" s="346">
        <f t="shared" si="232"/>
        <v>-86.955884440844912</v>
      </c>
      <c r="AD529">
        <f t="shared" si="236"/>
        <v>0</v>
      </c>
      <c r="AE529">
        <f t="shared" si="213"/>
        <v>0</v>
      </c>
    </row>
    <row r="530" spans="1:31" x14ac:dyDescent="0.2">
      <c r="A530" s="347">
        <v>76299.75</v>
      </c>
      <c r="B530" s="364">
        <f t="shared" si="233"/>
        <v>76.299750000000003</v>
      </c>
      <c r="C530" s="337">
        <f t="shared" si="214"/>
        <v>188.53057129377089</v>
      </c>
      <c r="D530" s="338">
        <f t="shared" si="215"/>
        <v>1.5654921223772769</v>
      </c>
      <c r="E530" s="338">
        <f t="shared" si="216"/>
        <v>1.0102893962683583</v>
      </c>
      <c r="F530" s="339">
        <f t="shared" si="217"/>
        <v>0.14284213418153824</v>
      </c>
      <c r="G530" s="338">
        <f t="shared" si="218"/>
        <v>1</v>
      </c>
      <c r="H530" s="339">
        <f t="shared" si="219"/>
        <v>0</v>
      </c>
      <c r="I530" s="337">
        <f t="shared" si="220"/>
        <v>10136.908810226065</v>
      </c>
      <c r="J530" s="340">
        <f t="shared" si="221"/>
        <v>1.5706976773919727</v>
      </c>
      <c r="K530" s="348">
        <f t="shared" si="211"/>
        <v>11.907350494331535</v>
      </c>
      <c r="L530" s="349">
        <f t="shared" si="212"/>
        <v>1.4867155536835144</v>
      </c>
      <c r="M530" s="337">
        <f t="shared" si="222"/>
        <v>1.0258629862952278</v>
      </c>
      <c r="N530" s="340">
        <f t="shared" si="223"/>
        <v>0.22502269102313693</v>
      </c>
      <c r="O530" s="341">
        <f t="shared" si="224"/>
        <v>0.99866091545347835</v>
      </c>
      <c r="P530" s="342">
        <f t="shared" si="225"/>
        <v>9.4783329783791948E-2</v>
      </c>
      <c r="Q530" s="343">
        <f t="shared" si="226"/>
        <v>-2.2342227045109935</v>
      </c>
      <c r="R530" s="344">
        <f t="shared" si="227"/>
        <v>-104.64719666567932</v>
      </c>
      <c r="S530" s="346">
        <f t="shared" si="228"/>
        <v>75.352803334320683</v>
      </c>
      <c r="U530" s="319">
        <f t="shared" si="234"/>
        <v>76299.75</v>
      </c>
      <c r="V530" s="319">
        <f t="shared" si="235"/>
        <v>5821651850.0625</v>
      </c>
      <c r="X530" s="345">
        <f t="shared" si="229"/>
        <v>38.883629143328157</v>
      </c>
      <c r="Y530" s="346">
        <f t="shared" si="230"/>
        <v>-17.704671753572875</v>
      </c>
      <c r="AA530" s="345">
        <f t="shared" si="231"/>
        <v>15.714898310255856</v>
      </c>
      <c r="AB530" s="346">
        <f t="shared" si="232"/>
        <v>-86.942524912106435</v>
      </c>
      <c r="AD530">
        <f t="shared" si="236"/>
        <v>0</v>
      </c>
      <c r="AE530">
        <f t="shared" si="213"/>
        <v>0</v>
      </c>
    </row>
    <row r="531" spans="1:31" x14ac:dyDescent="0.2">
      <c r="A531" s="347">
        <v>76741.5</v>
      </c>
      <c r="B531" s="364">
        <f t="shared" si="233"/>
        <v>76.741500000000002</v>
      </c>
      <c r="C531" s="337">
        <f t="shared" si="214"/>
        <v>189.62206954234208</v>
      </c>
      <c r="D531" s="338">
        <f t="shared" si="215"/>
        <v>1.5655226546021064</v>
      </c>
      <c r="E531" s="338">
        <f t="shared" si="216"/>
        <v>1.0104082700195827</v>
      </c>
      <c r="F531" s="339">
        <f t="shared" si="217"/>
        <v>0.14365784278317573</v>
      </c>
      <c r="G531" s="338">
        <f t="shared" si="218"/>
        <v>1</v>
      </c>
      <c r="H531" s="339">
        <f t="shared" si="219"/>
        <v>0</v>
      </c>
      <c r="I531" s="337">
        <f t="shared" si="220"/>
        <v>10195.598116855041</v>
      </c>
      <c r="J531" s="340">
        <f t="shared" si="221"/>
        <v>1.5706982452512597</v>
      </c>
      <c r="K531" s="348">
        <f t="shared" si="211"/>
        <v>11.975805229450895</v>
      </c>
      <c r="L531" s="349">
        <f t="shared" si="212"/>
        <v>1.4871972926589172</v>
      </c>
      <c r="M531" s="337">
        <f t="shared" si="222"/>
        <v>1.0261595004677635</v>
      </c>
      <c r="N531" s="340">
        <f t="shared" si="223"/>
        <v>0.22628159816340718</v>
      </c>
      <c r="O531" s="341">
        <f t="shared" si="224"/>
        <v>0.99864555366247454</v>
      </c>
      <c r="P531" s="342">
        <f t="shared" si="225"/>
        <v>9.5335228161877048E-2</v>
      </c>
      <c r="Q531" s="343">
        <f t="shared" si="226"/>
        <v>-2.2860709517629143</v>
      </c>
      <c r="R531" s="344">
        <f t="shared" si="227"/>
        <v>-104.67839181269416</v>
      </c>
      <c r="S531" s="346">
        <f t="shared" si="228"/>
        <v>75.321608187305841</v>
      </c>
      <c r="U531" s="319">
        <f t="shared" si="234"/>
        <v>76741.5</v>
      </c>
      <c r="V531" s="319">
        <f t="shared" si="235"/>
        <v>5889257822.25</v>
      </c>
      <c r="X531" s="345">
        <f t="shared" si="229"/>
        <v>38.880767309484973</v>
      </c>
      <c r="Y531" s="346">
        <f t="shared" si="230"/>
        <v>-17.749232745383122</v>
      </c>
      <c r="AA531" s="345">
        <f t="shared" si="231"/>
        <v>15.665911896847122</v>
      </c>
      <c r="AB531" s="346">
        <f t="shared" si="232"/>
        <v>-86.92915906731109</v>
      </c>
      <c r="AD531">
        <f t="shared" si="236"/>
        <v>0</v>
      </c>
      <c r="AE531">
        <f t="shared" si="213"/>
        <v>0</v>
      </c>
    </row>
    <row r="532" spans="1:31" x14ac:dyDescent="0.2">
      <c r="A532" s="347">
        <v>77183.25</v>
      </c>
      <c r="B532" s="364">
        <f t="shared" si="233"/>
        <v>77.183250000000001</v>
      </c>
      <c r="C532" s="337">
        <f t="shared" si="214"/>
        <v>190.71356796565877</v>
      </c>
      <c r="D532" s="338">
        <f t="shared" si="215"/>
        <v>1.5655528373408145</v>
      </c>
      <c r="E532" s="338">
        <f t="shared" si="216"/>
        <v>1.0105278159183553</v>
      </c>
      <c r="F532" s="339">
        <f t="shared" si="217"/>
        <v>0.14447335892994026</v>
      </c>
      <c r="G532" s="338">
        <f t="shared" si="218"/>
        <v>1</v>
      </c>
      <c r="H532" s="339">
        <f t="shared" si="219"/>
        <v>0</v>
      </c>
      <c r="I532" s="337">
        <f t="shared" si="220"/>
        <v>10254.287423487271</v>
      </c>
      <c r="J532" s="340">
        <f t="shared" si="221"/>
        <v>1.570698806610384</v>
      </c>
      <c r="K532" s="348">
        <f t="shared" si="211"/>
        <v>12.044262712231903</v>
      </c>
      <c r="L532" s="349">
        <f t="shared" si="212"/>
        <v>1.4876735555036376</v>
      </c>
      <c r="M532" s="337">
        <f t="shared" si="222"/>
        <v>1.0264576400052086</v>
      </c>
      <c r="N532" s="340">
        <f t="shared" si="223"/>
        <v>0.22753977598551811</v>
      </c>
      <c r="O532" s="341">
        <f t="shared" si="224"/>
        <v>0.9986301075667553</v>
      </c>
      <c r="P532" s="342">
        <f t="shared" si="225"/>
        <v>9.5887180768759517E-2</v>
      </c>
      <c r="Q532" s="343">
        <f t="shared" si="226"/>
        <v>-2.3376320511243716</v>
      </c>
      <c r="R532" s="344">
        <f t="shared" si="227"/>
        <v>-104.70985266945468</v>
      </c>
      <c r="S532" s="346">
        <f t="shared" si="228"/>
        <v>75.290147330545324</v>
      </c>
      <c r="U532" s="319">
        <f t="shared" si="234"/>
        <v>77183.25</v>
      </c>
      <c r="V532" s="319">
        <f t="shared" si="235"/>
        <v>5957254080.5625</v>
      </c>
      <c r="X532" s="345">
        <f t="shared" si="229"/>
        <v>38.877898439655766</v>
      </c>
      <c r="Y532" s="346">
        <f t="shared" si="230"/>
        <v>-17.794065337085517</v>
      </c>
      <c r="AA532" s="345">
        <f t="shared" si="231"/>
        <v>15.617219667314867</v>
      </c>
      <c r="AB532" s="346">
        <f t="shared" si="232"/>
        <v>-86.915787332369163</v>
      </c>
      <c r="AD532">
        <f t="shared" si="236"/>
        <v>0</v>
      </c>
      <c r="AE532">
        <f t="shared" si="213"/>
        <v>0</v>
      </c>
    </row>
    <row r="533" spans="1:31" x14ac:dyDescent="0.2">
      <c r="A533" s="347">
        <v>77625</v>
      </c>
      <c r="B533" s="364">
        <f t="shared" si="233"/>
        <v>77.625</v>
      </c>
      <c r="C533" s="337">
        <f t="shared" si="214"/>
        <v>191.80506656073763</v>
      </c>
      <c r="D533" s="338">
        <f t="shared" si="215"/>
        <v>1.565582676559772</v>
      </c>
      <c r="E533" s="338">
        <f t="shared" si="216"/>
        <v>1.0106480337261583</v>
      </c>
      <c r="F533" s="339">
        <f t="shared" si="217"/>
        <v>0.14528868160557448</v>
      </c>
      <c r="G533" s="338">
        <f t="shared" si="218"/>
        <v>1</v>
      </c>
      <c r="H533" s="339">
        <f t="shared" si="219"/>
        <v>0</v>
      </c>
      <c r="I533" s="337">
        <f t="shared" si="220"/>
        <v>10312.976730122693</v>
      </c>
      <c r="J533" s="340">
        <f t="shared" si="221"/>
        <v>1.5706993615803193</v>
      </c>
      <c r="K533" s="348">
        <f t="shared" si="211"/>
        <v>12.112722896087677</v>
      </c>
      <c r="L533" s="349">
        <f t="shared" si="212"/>
        <v>1.4881444348517809</v>
      </c>
      <c r="M533" s="337">
        <f t="shared" si="222"/>
        <v>1.0267574034916915</v>
      </c>
      <c r="N533" s="340">
        <f t="shared" si="223"/>
        <v>0.22879722114310819</v>
      </c>
      <c r="O533" s="341">
        <f t="shared" si="224"/>
        <v>0.99861457724213321</v>
      </c>
      <c r="P533" s="342">
        <f t="shared" si="225"/>
        <v>9.6439187914840421E-2</v>
      </c>
      <c r="Q533" s="343">
        <f t="shared" si="226"/>
        <v>-2.3889094036413012</v>
      </c>
      <c r="R533" s="344">
        <f t="shared" si="227"/>
        <v>-104.74157416090314</v>
      </c>
      <c r="S533" s="346">
        <f t="shared" si="228"/>
        <v>75.258425839096859</v>
      </c>
      <c r="U533" s="319">
        <f t="shared" si="234"/>
        <v>77625</v>
      </c>
      <c r="V533" s="319">
        <f t="shared" si="235"/>
        <v>6025640625</v>
      </c>
      <c r="X533" s="345">
        <f t="shared" si="229"/>
        <v>38.875022422133348</v>
      </c>
      <c r="Y533" s="346">
        <f t="shared" si="230"/>
        <v>-17.839164035762682</v>
      </c>
      <c r="AA533" s="345">
        <f t="shared" si="231"/>
        <v>15.56881833232036</v>
      </c>
      <c r="AB533" s="346">
        <f t="shared" si="232"/>
        <v>-86.902410125140449</v>
      </c>
      <c r="AD533">
        <f t="shared" si="236"/>
        <v>0</v>
      </c>
      <c r="AE533">
        <f t="shared" si="213"/>
        <v>0</v>
      </c>
    </row>
    <row r="534" spans="1:31" x14ac:dyDescent="0.2">
      <c r="A534" s="347">
        <v>78077</v>
      </c>
      <c r="B534" s="364">
        <f t="shared" si="233"/>
        <v>78.076999999999998</v>
      </c>
      <c r="C534" s="337">
        <f t="shared" si="214"/>
        <v>192.92189155716</v>
      </c>
      <c r="D534" s="338">
        <f t="shared" si="215"/>
        <v>1.5656128586565763</v>
      </c>
      <c r="E534" s="338">
        <f t="shared" si="216"/>
        <v>1.0107717361935507</v>
      </c>
      <c r="F534" s="339">
        <f t="shared" si="217"/>
        <v>0.14612272103583626</v>
      </c>
      <c r="G534" s="338">
        <f t="shared" si="218"/>
        <v>1</v>
      </c>
      <c r="H534" s="339">
        <f t="shared" si="219"/>
        <v>0</v>
      </c>
      <c r="I534" s="337">
        <f t="shared" si="220"/>
        <v>10373.027814674242</v>
      </c>
      <c r="J534" s="340">
        <f t="shared" si="221"/>
        <v>1.5706999229271528</v>
      </c>
      <c r="K534" s="348">
        <f t="shared" si="211"/>
        <v>12.182774321488834</v>
      </c>
      <c r="L534" s="349">
        <f t="shared" si="212"/>
        <v>1.4886207622263716</v>
      </c>
      <c r="M534" s="337">
        <f t="shared" si="222"/>
        <v>1.0270658018651968</v>
      </c>
      <c r="N534" s="340">
        <f t="shared" si="223"/>
        <v>0.23008308117479789</v>
      </c>
      <c r="O534" s="341">
        <f t="shared" si="224"/>
        <v>0.99859859946115903</v>
      </c>
      <c r="P534" s="342">
        <f t="shared" si="225"/>
        <v>9.700406015198175E-2</v>
      </c>
      <c r="Q534" s="343">
        <f t="shared" si="226"/>
        <v>-2.4410863391440003</v>
      </c>
      <c r="R534" s="344">
        <f t="shared" si="227"/>
        <v>-104.77429629098926</v>
      </c>
      <c r="S534" s="346">
        <f t="shared" si="228"/>
        <v>75.225703709010745</v>
      </c>
      <c r="U534" s="319">
        <f t="shared" si="234"/>
        <v>78077</v>
      </c>
      <c r="V534" s="319">
        <f t="shared" si="235"/>
        <v>6096017929</v>
      </c>
      <c r="X534" s="345">
        <f t="shared" si="229"/>
        <v>38.872072161047775</v>
      </c>
      <c r="Y534" s="346">
        <f t="shared" si="230"/>
        <v>-17.885579003249898</v>
      </c>
      <c r="AA534" s="345">
        <f t="shared" si="231"/>
        <v>15.519591657903236</v>
      </c>
      <c r="AB534" s="346">
        <f t="shared" si="232"/>
        <v>-86.888717287739354</v>
      </c>
      <c r="AD534">
        <f t="shared" si="236"/>
        <v>0</v>
      </c>
      <c r="AE534">
        <f t="shared" si="213"/>
        <v>0</v>
      </c>
    </row>
    <row r="535" spans="1:31" x14ac:dyDescent="0.2">
      <c r="A535" s="347">
        <v>78529</v>
      </c>
      <c r="B535" s="364">
        <f t="shared" si="233"/>
        <v>78.528999999999996</v>
      </c>
      <c r="C535" s="337">
        <f t="shared" si="214"/>
        <v>194.03871672730321</v>
      </c>
      <c r="D535" s="338">
        <f t="shared" si="215"/>
        <v>1.5656426933162984</v>
      </c>
      <c r="E535" s="338">
        <f t="shared" si="216"/>
        <v>1.0108961416034041</v>
      </c>
      <c r="F535" s="339">
        <f t="shared" si="217"/>
        <v>0.14695655576475231</v>
      </c>
      <c r="G535" s="338">
        <f t="shared" si="218"/>
        <v>1</v>
      </c>
      <c r="H535" s="339">
        <f t="shared" si="219"/>
        <v>0</v>
      </c>
      <c r="I535" s="337">
        <f t="shared" si="220"/>
        <v>10433.078899229025</v>
      </c>
      <c r="J535" s="340">
        <f t="shared" si="221"/>
        <v>1.5707004778119464</v>
      </c>
      <c r="K535" s="348">
        <f t="shared" ref="K535:K598" si="237">SQRT(1+(A535/Zero2)^2)</f>
        <v>12.252828479406219</v>
      </c>
      <c r="L535" s="349">
        <f t="shared" ref="L535:L598" si="238">ATAN(A535/Zero2)</f>
        <v>1.4890916430112431</v>
      </c>
      <c r="M535" s="337">
        <f t="shared" si="222"/>
        <v>1.0273758974051319</v>
      </c>
      <c r="N535" s="340">
        <f t="shared" si="223"/>
        <v>0.2313681671012715</v>
      </c>
      <c r="O535" s="341">
        <f t="shared" si="224"/>
        <v>0.99858253365917782</v>
      </c>
      <c r="P535" s="342">
        <f t="shared" si="225"/>
        <v>9.7568990146032361E-2</v>
      </c>
      <c r="Q535" s="343">
        <f t="shared" si="226"/>
        <v>-2.4929732213361997</v>
      </c>
      <c r="R535" s="344">
        <f t="shared" si="227"/>
        <v>-104.80728089554182</v>
      </c>
      <c r="S535" s="346">
        <f t="shared" si="228"/>
        <v>75.192719104458178</v>
      </c>
      <c r="U535" s="319">
        <f t="shared" si="234"/>
        <v>78529</v>
      </c>
      <c r="V535" s="319">
        <f t="shared" si="235"/>
        <v>6166803841</v>
      </c>
      <c r="X535" s="345">
        <f t="shared" si="229"/>
        <v>38.869114192401113</v>
      </c>
      <c r="Y535" s="346">
        <f t="shared" si="230"/>
        <v>-17.932261314131694</v>
      </c>
      <c r="AA535" s="345">
        <f t="shared" si="231"/>
        <v>15.470662744357695</v>
      </c>
      <c r="AB535" s="346">
        <f t="shared" si="232"/>
        <v>-86.875019581410115</v>
      </c>
      <c r="AD535">
        <f t="shared" si="236"/>
        <v>0</v>
      </c>
      <c r="AE535">
        <f t="shared" si="213"/>
        <v>0</v>
      </c>
    </row>
    <row r="536" spans="1:31" x14ac:dyDescent="0.2">
      <c r="A536" s="347">
        <v>78981</v>
      </c>
      <c r="B536" s="364">
        <f t="shared" si="233"/>
        <v>78.980999999999995</v>
      </c>
      <c r="C536" s="337">
        <f t="shared" si="214"/>
        <v>195.15554206818484</v>
      </c>
      <c r="D536" s="338">
        <f t="shared" si="215"/>
        <v>1.5656721865037659</v>
      </c>
      <c r="E536" s="338">
        <f t="shared" si="216"/>
        <v>1.0110212496962292</v>
      </c>
      <c r="F536" s="339">
        <f t="shared" si="217"/>
        <v>0.14779018470860492</v>
      </c>
      <c r="G536" s="338">
        <f t="shared" si="218"/>
        <v>1</v>
      </c>
      <c r="H536" s="339">
        <f t="shared" si="219"/>
        <v>0</v>
      </c>
      <c r="I536" s="337">
        <f t="shared" si="220"/>
        <v>10493.129983786981</v>
      </c>
      <c r="J536" s="340">
        <f t="shared" si="221"/>
        <v>1.5707010263456447</v>
      </c>
      <c r="K536" s="348">
        <f t="shared" si="237"/>
        <v>12.322885323237728</v>
      </c>
      <c r="L536" s="349">
        <f t="shared" si="238"/>
        <v>1.4895571698890111</v>
      </c>
      <c r="M536" s="337">
        <f t="shared" si="222"/>
        <v>1.0276876885751818</v>
      </c>
      <c r="N536" s="340">
        <f t="shared" si="223"/>
        <v>0.23265247538069603</v>
      </c>
      <c r="O536" s="341">
        <f t="shared" si="224"/>
        <v>0.99856637991883668</v>
      </c>
      <c r="P536" s="342">
        <f t="shared" si="225"/>
        <v>9.8133978229400703E-2</v>
      </c>
      <c r="Q536" s="343">
        <f t="shared" si="226"/>
        <v>-2.5445735037984707</v>
      </c>
      <c r="R536" s="344">
        <f t="shared" si="227"/>
        <v>-104.84052289056012</v>
      </c>
      <c r="S536" s="346">
        <f t="shared" si="228"/>
        <v>75.159477109439877</v>
      </c>
      <c r="U536" s="319">
        <f t="shared" si="234"/>
        <v>78981</v>
      </c>
      <c r="V536" s="319">
        <f t="shared" si="235"/>
        <v>6237998361</v>
      </c>
      <c r="X536" s="345">
        <f t="shared" si="229"/>
        <v>38.866148408721919</v>
      </c>
      <c r="Y536" s="346">
        <f t="shared" si="230"/>
        <v>-17.979205461509885</v>
      </c>
      <c r="AA536" s="345">
        <f t="shared" si="231"/>
        <v>15.422028245574621</v>
      </c>
      <c r="AB536" s="346">
        <f t="shared" si="232"/>
        <v>-86.861317429050217</v>
      </c>
      <c r="AD536">
        <f t="shared" si="236"/>
        <v>0</v>
      </c>
      <c r="AE536">
        <f t="shared" si="213"/>
        <v>0</v>
      </c>
    </row>
    <row r="537" spans="1:31" x14ac:dyDescent="0.2">
      <c r="A537" s="347">
        <v>79433</v>
      </c>
      <c r="B537" s="364">
        <f t="shared" si="233"/>
        <v>79.433000000000007</v>
      </c>
      <c r="C537" s="337">
        <f t="shared" si="214"/>
        <v>196.27236757689025</v>
      </c>
      <c r="D537" s="338">
        <f t="shared" si="215"/>
        <v>1.565701344048045</v>
      </c>
      <c r="E537" s="338">
        <f t="shared" si="216"/>
        <v>1.0111470602111989</v>
      </c>
      <c r="F537" s="339">
        <f t="shared" si="217"/>
        <v>0.14862360678535511</v>
      </c>
      <c r="G537" s="338">
        <f t="shared" si="218"/>
        <v>1</v>
      </c>
      <c r="H537" s="339">
        <f t="shared" si="219"/>
        <v>0</v>
      </c>
      <c r="I537" s="337">
        <f t="shared" si="220"/>
        <v>10553.181068348058</v>
      </c>
      <c r="J537" s="340">
        <f t="shared" si="221"/>
        <v>1.5707015686366674</v>
      </c>
      <c r="K537" s="348">
        <f t="shared" si="237"/>
        <v>12.392944807433249</v>
      </c>
      <c r="L537" s="349">
        <f t="shared" si="238"/>
        <v>1.4900174334558909</v>
      </c>
      <c r="M537" s="337">
        <f t="shared" si="222"/>
        <v>1.028001173832501</v>
      </c>
      <c r="N537" s="340">
        <f t="shared" si="223"/>
        <v>0.23393600248578519</v>
      </c>
      <c r="O537" s="341">
        <f t="shared" si="224"/>
        <v>0.99855013832326656</v>
      </c>
      <c r="P537" s="342">
        <f t="shared" si="225"/>
        <v>9.8699024734459392E-2</v>
      </c>
      <c r="Q537" s="343">
        <f t="shared" si="226"/>
        <v>-2.5958905791028615</v>
      </c>
      <c r="R537" s="344">
        <f t="shared" si="227"/>
        <v>-104.87401730439747</v>
      </c>
      <c r="S537" s="346">
        <f t="shared" si="228"/>
        <v>75.125982695602531</v>
      </c>
      <c r="U537" s="319">
        <f t="shared" si="234"/>
        <v>79433</v>
      </c>
      <c r="V537" s="319">
        <f t="shared" si="235"/>
        <v>6309601489</v>
      </c>
      <c r="X537" s="345">
        <f t="shared" si="229"/>
        <v>38.863174706381649</v>
      </c>
      <c r="Y537" s="346">
        <f t="shared" si="230"/>
        <v>-18.026406058717104</v>
      </c>
      <c r="AA537" s="345">
        <f t="shared" si="231"/>
        <v>15.373684872610497</v>
      </c>
      <c r="AB537" s="346">
        <f t="shared" si="232"/>
        <v>-86.847611245680383</v>
      </c>
      <c r="AD537">
        <f t="shared" si="236"/>
        <v>0</v>
      </c>
      <c r="AE537">
        <f t="shared" si="213"/>
        <v>0</v>
      </c>
    </row>
    <row r="538" spans="1:31" x14ac:dyDescent="0.2">
      <c r="A538" s="347">
        <v>79895.5</v>
      </c>
      <c r="B538" s="364">
        <f t="shared" si="233"/>
        <v>79.895499999999998</v>
      </c>
      <c r="C538" s="337">
        <f t="shared" si="214"/>
        <v>197.4151372117428</v>
      </c>
      <c r="D538" s="338">
        <f t="shared" si="215"/>
        <v>1.5657308374374588</v>
      </c>
      <c r="E538" s="338">
        <f t="shared" si="216"/>
        <v>1.0112765201297536</v>
      </c>
      <c r="F538" s="339">
        <f t="shared" si="217"/>
        <v>0.14947617407253372</v>
      </c>
      <c r="G538" s="338">
        <f t="shared" si="218"/>
        <v>1</v>
      </c>
      <c r="H538" s="339">
        <f t="shared" si="219"/>
        <v>0</v>
      </c>
      <c r="I538" s="337">
        <f t="shared" si="220"/>
        <v>10614.62714492092</v>
      </c>
      <c r="J538" s="340">
        <f t="shared" si="221"/>
        <v>1.5707021171737929</v>
      </c>
      <c r="K538" s="348">
        <f t="shared" si="237"/>
        <v>12.46463446628484</v>
      </c>
      <c r="L538" s="349">
        <f t="shared" si="238"/>
        <v>1.4904830332303836</v>
      </c>
      <c r="M538" s="337">
        <f t="shared" si="222"/>
        <v>1.0283236933389457</v>
      </c>
      <c r="N538" s="340">
        <f t="shared" si="223"/>
        <v>0.23524853376976171</v>
      </c>
      <c r="O538" s="341">
        <f t="shared" si="224"/>
        <v>0.99853342858095684</v>
      </c>
      <c r="P538" s="342">
        <f t="shared" si="225"/>
        <v>9.9277258139669894E-2</v>
      </c>
      <c r="Q538" s="343">
        <f t="shared" si="226"/>
        <v>-2.6481100790308485</v>
      </c>
      <c r="R538" s="344">
        <f t="shared" si="227"/>
        <v>-104.90854600745192</v>
      </c>
      <c r="S538" s="346">
        <f t="shared" si="228"/>
        <v>75.091453992548082</v>
      </c>
      <c r="U538" s="319">
        <f t="shared" si="234"/>
        <v>79895.5</v>
      </c>
      <c r="V538" s="319">
        <f t="shared" si="235"/>
        <v>6383290920.25</v>
      </c>
      <c r="X538" s="345">
        <f t="shared" si="229"/>
        <v>38.860123623748827</v>
      </c>
      <c r="Y538" s="346">
        <f t="shared" si="230"/>
        <v>-18.074963088664845</v>
      </c>
      <c r="AA538" s="345">
        <f t="shared" si="231"/>
        <v>15.324516455315337</v>
      </c>
      <c r="AB538" s="346">
        <f t="shared" si="232"/>
        <v>-86.833582918787087</v>
      </c>
      <c r="AD538">
        <f t="shared" si="236"/>
        <v>0</v>
      </c>
      <c r="AE538">
        <f t="shared" ref="AE538:AE601" si="239">IF(AD538&gt;0,S538,0)</f>
        <v>0</v>
      </c>
    </row>
    <row r="539" spans="1:31" x14ac:dyDescent="0.2">
      <c r="A539" s="347">
        <v>80358</v>
      </c>
      <c r="B539" s="364">
        <f t="shared" si="233"/>
        <v>80.358000000000004</v>
      </c>
      <c r="C539" s="337">
        <f t="shared" si="214"/>
        <v>198.55790701634223</v>
      </c>
      <c r="D539" s="338">
        <f t="shared" si="215"/>
        <v>1.5657599913374725</v>
      </c>
      <c r="E539" s="338">
        <f t="shared" si="216"/>
        <v>1.011406714927374</v>
      </c>
      <c r="F539" s="339">
        <f t="shared" si="217"/>
        <v>0.15032852248320366</v>
      </c>
      <c r="G539" s="338">
        <f t="shared" si="218"/>
        <v>1</v>
      </c>
      <c r="H539" s="339">
        <f t="shared" si="219"/>
        <v>0</v>
      </c>
      <c r="I539" s="337">
        <f t="shared" si="220"/>
        <v>10676.073221496939</v>
      </c>
      <c r="J539" s="340">
        <f t="shared" si="221"/>
        <v>1.5707026593967142</v>
      </c>
      <c r="K539" s="348">
        <f t="shared" si="237"/>
        <v>12.536326796354345</v>
      </c>
      <c r="L539" s="349">
        <f t="shared" si="238"/>
        <v>1.4909433077905985</v>
      </c>
      <c r="M539" s="337">
        <f t="shared" si="222"/>
        <v>1.0286479832654123</v>
      </c>
      <c r="N539" s="340">
        <f t="shared" si="223"/>
        <v>0.23656023973923188</v>
      </c>
      <c r="O539" s="341">
        <f t="shared" si="224"/>
        <v>0.99851662703188793</v>
      </c>
      <c r="P539" s="342">
        <f t="shared" si="225"/>
        <v>9.9855553416335355E-2</v>
      </c>
      <c r="Q539" s="343">
        <f t="shared" si="226"/>
        <v>-2.7000400581596535</v>
      </c>
      <c r="R539" s="344">
        <f t="shared" si="227"/>
        <v>-104.94332880835815</v>
      </c>
      <c r="S539" s="346">
        <f t="shared" si="228"/>
        <v>75.056671191641854</v>
      </c>
      <c r="U539" s="319">
        <f t="shared" si="234"/>
        <v>80358</v>
      </c>
      <c r="V539" s="319">
        <f t="shared" si="235"/>
        <v>6457408164</v>
      </c>
      <c r="X539" s="345">
        <f t="shared" si="229"/>
        <v>38.8570640425419</v>
      </c>
      <c r="Y539" s="346">
        <f t="shared" si="230"/>
        <v>-18.123777582100772</v>
      </c>
      <c r="AA539" s="345">
        <f t="shared" si="231"/>
        <v>15.275646057393452</v>
      </c>
      <c r="AB539" s="346">
        <f t="shared" si="232"/>
        <v>-86.819551226257403</v>
      </c>
      <c r="AD539">
        <f t="shared" si="236"/>
        <v>0</v>
      </c>
      <c r="AE539">
        <f t="shared" si="239"/>
        <v>0</v>
      </c>
    </row>
    <row r="540" spans="1:31" x14ac:dyDescent="0.2">
      <c r="A540" s="347">
        <v>80820.5</v>
      </c>
      <c r="B540" s="364">
        <f t="shared" si="233"/>
        <v>80.820499999999996</v>
      </c>
      <c r="C540" s="337">
        <f t="shared" si="214"/>
        <v>199.70067698777447</v>
      </c>
      <c r="D540" s="338">
        <f t="shared" si="215"/>
        <v>1.5657888115761331</v>
      </c>
      <c r="E540" s="338">
        <f t="shared" si="216"/>
        <v>1.0115376443203017</v>
      </c>
      <c r="F540" s="339">
        <f t="shared" si="217"/>
        <v>0.15118065086366131</v>
      </c>
      <c r="G540" s="338">
        <f t="shared" si="218"/>
        <v>1</v>
      </c>
      <c r="H540" s="339">
        <f t="shared" si="219"/>
        <v>0</v>
      </c>
      <c r="I540" s="337">
        <f t="shared" si="220"/>
        <v>10737.519298076062</v>
      </c>
      <c r="J540" s="340">
        <f t="shared" si="221"/>
        <v>1.5707031954138313</v>
      </c>
      <c r="K540" s="348">
        <f t="shared" si="237"/>
        <v>12.60802175207415</v>
      </c>
      <c r="L540" s="349">
        <f t="shared" si="238"/>
        <v>1.4913983477846151</v>
      </c>
      <c r="M540" s="337">
        <f t="shared" si="222"/>
        <v>1.0289740419380122</v>
      </c>
      <c r="N540" s="340">
        <f t="shared" si="223"/>
        <v>0.23787111666288197</v>
      </c>
      <c r="O540" s="341">
        <f t="shared" si="224"/>
        <v>0.99849973376669321</v>
      </c>
      <c r="P540" s="342">
        <f t="shared" si="225"/>
        <v>0.10043391092041554</v>
      </c>
      <c r="Q540" s="343">
        <f t="shared" si="226"/>
        <v>-2.7516839618376006</v>
      </c>
      <c r="R540" s="344">
        <f t="shared" si="227"/>
        <v>-104.97836072620599</v>
      </c>
      <c r="S540" s="346">
        <f t="shared" si="228"/>
        <v>75.021639273794008</v>
      </c>
      <c r="U540" s="319">
        <f t="shared" si="234"/>
        <v>80820.5</v>
      </c>
      <c r="V540" s="319">
        <f t="shared" si="235"/>
        <v>6531953220.25</v>
      </c>
      <c r="X540" s="345">
        <f t="shared" si="229"/>
        <v>38.853995863425908</v>
      </c>
      <c r="Y540" s="346">
        <f t="shared" si="230"/>
        <v>-18.172844137694828</v>
      </c>
      <c r="AA540" s="345">
        <f t="shared" si="231"/>
        <v>15.227070332831502</v>
      </c>
      <c r="AB540" s="346">
        <f t="shared" si="232"/>
        <v>-86.805516588511153</v>
      </c>
      <c r="AD540">
        <f t="shared" si="236"/>
        <v>0</v>
      </c>
      <c r="AE540">
        <f t="shared" si="239"/>
        <v>0</v>
      </c>
    </row>
    <row r="541" spans="1:31" x14ac:dyDescent="0.2">
      <c r="A541" s="347">
        <v>81283</v>
      </c>
      <c r="B541" s="364">
        <f t="shared" si="233"/>
        <v>81.283000000000001</v>
      </c>
      <c r="C541" s="337">
        <f t="shared" si="214"/>
        <v>200.84344712319177</v>
      </c>
      <c r="D541" s="338">
        <f t="shared" si="215"/>
        <v>1.5658173038488463</v>
      </c>
      <c r="E541" s="338">
        <f t="shared" si="216"/>
        <v>1.0116693080233246</v>
      </c>
      <c r="F541" s="339">
        <f t="shared" si="217"/>
        <v>0.15203255806207661</v>
      </c>
      <c r="G541" s="338">
        <f t="shared" si="218"/>
        <v>1</v>
      </c>
      <c r="H541" s="339">
        <f t="shared" si="219"/>
        <v>0</v>
      </c>
      <c r="I541" s="337">
        <f t="shared" si="220"/>
        <v>10798.965374658233</v>
      </c>
      <c r="J541" s="340">
        <f t="shared" si="221"/>
        <v>1.5707037253310772</v>
      </c>
      <c r="K541" s="348">
        <f t="shared" si="237"/>
        <v>12.679719288905597</v>
      </c>
      <c r="L541" s="349">
        <f t="shared" si="238"/>
        <v>1.4918482418190175</v>
      </c>
      <c r="M541" s="337">
        <f t="shared" si="222"/>
        <v>1.0293018676758534</v>
      </c>
      <c r="N541" s="340">
        <f t="shared" si="223"/>
        <v>0.23918116082551044</v>
      </c>
      <c r="O541" s="341">
        <f t="shared" si="224"/>
        <v>0.99848274887653676</v>
      </c>
      <c r="P541" s="342">
        <f t="shared" si="225"/>
        <v>0.10101233100782972</v>
      </c>
      <c r="Q541" s="343">
        <f t="shared" si="226"/>
        <v>-2.8030451745796063</v>
      </c>
      <c r="R541" s="344">
        <f t="shared" si="227"/>
        <v>-105.01363689012659</v>
      </c>
      <c r="S541" s="346">
        <f t="shared" si="228"/>
        <v>74.986363109873409</v>
      </c>
      <c r="U541" s="319">
        <f t="shared" si="234"/>
        <v>81283</v>
      </c>
      <c r="V541" s="319">
        <f t="shared" si="235"/>
        <v>6606926089</v>
      </c>
      <c r="X541" s="345">
        <f t="shared" si="229"/>
        <v>38.850918990748788</v>
      </c>
      <c r="Y541" s="346">
        <f t="shared" si="230"/>
        <v>-18.222157471867838</v>
      </c>
      <c r="AA541" s="345">
        <f t="shared" si="231"/>
        <v>15.178785992766613</v>
      </c>
      <c r="AB541" s="346">
        <f t="shared" si="232"/>
        <v>-86.791479418258703</v>
      </c>
      <c r="AD541">
        <f t="shared" si="236"/>
        <v>0</v>
      </c>
      <c r="AE541">
        <f t="shared" si="239"/>
        <v>0</v>
      </c>
    </row>
    <row r="542" spans="1:31" x14ac:dyDescent="0.2">
      <c r="A542" s="347">
        <v>81756.25</v>
      </c>
      <c r="B542" s="364">
        <f t="shared" si="233"/>
        <v>81.756249999999994</v>
      </c>
      <c r="C542" s="337">
        <f t="shared" si="214"/>
        <v>202.01277910968125</v>
      </c>
      <c r="D542" s="338">
        <f t="shared" si="215"/>
        <v>1.5658461246913347</v>
      </c>
      <c r="E542" s="338">
        <f t="shared" si="216"/>
        <v>1.0118047918288529</v>
      </c>
      <c r="F542" s="339">
        <f t="shared" si="217"/>
        <v>0.1529040361938919</v>
      </c>
      <c r="G542" s="338">
        <f t="shared" si="218"/>
        <v>1</v>
      </c>
      <c r="H542" s="339">
        <f t="shared" si="219"/>
        <v>0</v>
      </c>
      <c r="I542" s="337">
        <f t="shared" si="220"/>
        <v>10861.839657347851</v>
      </c>
      <c r="J542" s="340">
        <f t="shared" si="221"/>
        <v>1.5707042613591178</v>
      </c>
      <c r="K542" s="348">
        <f t="shared" si="237"/>
        <v>12.753085935413026</v>
      </c>
      <c r="L542" s="349">
        <f t="shared" si="238"/>
        <v>1.4923033564355785</v>
      </c>
      <c r="M542" s="337">
        <f t="shared" si="222"/>
        <v>1.0296391405373839</v>
      </c>
      <c r="N542" s="340">
        <f t="shared" si="223"/>
        <v>0.24052078878461583</v>
      </c>
      <c r="O542" s="341">
        <f t="shared" si="224"/>
        <v>0.99846527445389843</v>
      </c>
      <c r="P542" s="342">
        <f t="shared" si="225"/>
        <v>0.10160426060746749</v>
      </c>
      <c r="Q542" s="343">
        <f t="shared" si="226"/>
        <v>-2.8553110334451515</v>
      </c>
      <c r="R542" s="344">
        <f t="shared" si="227"/>
        <v>-105.0499808453371</v>
      </c>
      <c r="S542" s="346">
        <f t="shared" si="228"/>
        <v>74.950019154662897</v>
      </c>
      <c r="U542" s="319">
        <f t="shared" si="234"/>
        <v>81756.25</v>
      </c>
      <c r="V542" s="319">
        <f t="shared" si="235"/>
        <v>6684084414.0625</v>
      </c>
      <c r="X542" s="345">
        <f t="shared" si="229"/>
        <v>38.847761506518836</v>
      </c>
      <c r="Y542" s="346">
        <f t="shared" si="230"/>
        <v>-18.272867065521027</v>
      </c>
      <c r="AA542" s="345">
        <f t="shared" si="231"/>
        <v>15.129677618131023</v>
      </c>
      <c r="AB542" s="346">
        <f t="shared" si="232"/>
        <v>-86.777113779816048</v>
      </c>
      <c r="AD542">
        <f t="shared" si="236"/>
        <v>0</v>
      </c>
      <c r="AE542">
        <f t="shared" si="239"/>
        <v>0</v>
      </c>
    </row>
    <row r="543" spans="1:31" x14ac:dyDescent="0.2">
      <c r="A543" s="347">
        <v>82229.5</v>
      </c>
      <c r="B543" s="364">
        <f t="shared" si="233"/>
        <v>82.229500000000002</v>
      </c>
      <c r="C543" s="337">
        <f t="shared" si="214"/>
        <v>203.1821112620394</v>
      </c>
      <c r="D543" s="338">
        <f t="shared" si="215"/>
        <v>1.5658746138005302</v>
      </c>
      <c r="E543" s="338">
        <f t="shared" si="216"/>
        <v>1.0119410438678438</v>
      </c>
      <c r="F543" s="339">
        <f t="shared" si="217"/>
        <v>0.15377528030821433</v>
      </c>
      <c r="G543" s="338">
        <f t="shared" si="218"/>
        <v>1</v>
      </c>
      <c r="H543" s="339">
        <f t="shared" si="219"/>
        <v>0</v>
      </c>
      <c r="I543" s="337">
        <f t="shared" si="220"/>
        <v>10924.713940040556</v>
      </c>
      <c r="J543" s="340">
        <f t="shared" si="221"/>
        <v>1.5707047912172252</v>
      </c>
      <c r="K543" s="348">
        <f t="shared" si="237"/>
        <v>12.826455193239164</v>
      </c>
      <c r="L543" s="349">
        <f t="shared" si="238"/>
        <v>1.4927532644959742</v>
      </c>
      <c r="M543" s="337">
        <f t="shared" si="222"/>
        <v>1.0299782599803988</v>
      </c>
      <c r="N543" s="340">
        <f t="shared" si="223"/>
        <v>0.24185953700225557</v>
      </c>
      <c r="O543" s="341">
        <f t="shared" si="224"/>
        <v>0.9984477042922989</v>
      </c>
      <c r="P543" s="342">
        <f t="shared" si="225"/>
        <v>0.10219625648737396</v>
      </c>
      <c r="Q543" s="343">
        <f t="shared" si="226"/>
        <v>-2.9072878880786108</v>
      </c>
      <c r="R543" s="344">
        <f t="shared" si="227"/>
        <v>-105.08657055413445</v>
      </c>
      <c r="S543" s="346">
        <f t="shared" si="228"/>
        <v>74.913429445865546</v>
      </c>
      <c r="U543" s="319">
        <f t="shared" si="234"/>
        <v>82229.5</v>
      </c>
      <c r="V543" s="319">
        <f t="shared" si="235"/>
        <v>6761690670.25</v>
      </c>
      <c r="X543" s="345">
        <f t="shared" si="229"/>
        <v>38.844594728561319</v>
      </c>
      <c r="Y543" s="346">
        <f t="shared" si="230"/>
        <v>-18.323824213884372</v>
      </c>
      <c r="AA543" s="345">
        <f t="shared" si="231"/>
        <v>15.080867541455072</v>
      </c>
      <c r="AB543" s="346">
        <f t="shared" si="232"/>
        <v>-86.762746340250104</v>
      </c>
      <c r="AD543">
        <f t="shared" si="236"/>
        <v>0</v>
      </c>
      <c r="AE543">
        <f t="shared" si="239"/>
        <v>0</v>
      </c>
    </row>
    <row r="544" spans="1:31" x14ac:dyDescent="0.2">
      <c r="A544" s="347">
        <v>82702.75</v>
      </c>
      <c r="B544" s="364">
        <f t="shared" si="233"/>
        <v>82.702749999999995</v>
      </c>
      <c r="C544" s="337">
        <f t="shared" si="214"/>
        <v>204.35144357741888</v>
      </c>
      <c r="D544" s="338">
        <f t="shared" si="215"/>
        <v>1.5659027768710823</v>
      </c>
      <c r="E544" s="338">
        <f t="shared" si="216"/>
        <v>1.0120780638300249</v>
      </c>
      <c r="F544" s="339">
        <f t="shared" si="217"/>
        <v>0.15464628917716255</v>
      </c>
      <c r="G544" s="338">
        <f t="shared" si="218"/>
        <v>1</v>
      </c>
      <c r="H544" s="339">
        <f t="shared" si="219"/>
        <v>0</v>
      </c>
      <c r="I544" s="337">
        <f t="shared" si="220"/>
        <v>10987.588222736291</v>
      </c>
      <c r="J544" s="340">
        <f t="shared" si="221"/>
        <v>1.5707053150113179</v>
      </c>
      <c r="K544" s="348">
        <f t="shared" si="237"/>
        <v>12.899827017827485</v>
      </c>
      <c r="L544" s="349">
        <f t="shared" si="238"/>
        <v>1.4931980546582726</v>
      </c>
      <c r="M544" s="337">
        <f t="shared" si="222"/>
        <v>1.030319224181546</v>
      </c>
      <c r="N544" s="340">
        <f t="shared" si="223"/>
        <v>0.24319740155074845</v>
      </c>
      <c r="O544" s="341">
        <f t="shared" si="224"/>
        <v>0.99843003849113465</v>
      </c>
      <c r="P544" s="342">
        <f t="shared" si="225"/>
        <v>0.10278831902873445</v>
      </c>
      <c r="Q544" s="343">
        <f t="shared" si="226"/>
        <v>-2.9589791758601947</v>
      </c>
      <c r="R544" s="344">
        <f t="shared" si="227"/>
        <v>-105.12340113628692</v>
      </c>
      <c r="S544" s="346">
        <f t="shared" si="228"/>
        <v>74.876598863713085</v>
      </c>
      <c r="U544" s="319">
        <f t="shared" si="234"/>
        <v>82702.75</v>
      </c>
      <c r="V544" s="319">
        <f t="shared" si="235"/>
        <v>6839744857.5625</v>
      </c>
      <c r="X544" s="345">
        <f t="shared" si="229"/>
        <v>38.841418565597721</v>
      </c>
      <c r="Y544" s="346">
        <f t="shared" si="230"/>
        <v>-18.375023618253909</v>
      </c>
      <c r="AA544" s="345">
        <f t="shared" si="231"/>
        <v>15.032352416637092</v>
      </c>
      <c r="AB544" s="346">
        <f t="shared" si="232"/>
        <v>-86.748377518032996</v>
      </c>
      <c r="AD544">
        <f t="shared" si="236"/>
        <v>0</v>
      </c>
      <c r="AE544">
        <f t="shared" si="239"/>
        <v>0</v>
      </c>
    </row>
    <row r="545" spans="1:31" x14ac:dyDescent="0.2">
      <c r="A545" s="347">
        <v>83176</v>
      </c>
      <c r="B545" s="364">
        <f t="shared" si="233"/>
        <v>83.176000000000002</v>
      </c>
      <c r="C545" s="337">
        <f t="shared" si="214"/>
        <v>205.52077605303703</v>
      </c>
      <c r="D545" s="338">
        <f t="shared" si="215"/>
        <v>1.5659306194680416</v>
      </c>
      <c r="E545" s="338">
        <f t="shared" si="216"/>
        <v>1.0122158514035431</v>
      </c>
      <c r="F545" s="339">
        <f t="shared" si="217"/>
        <v>0.15551706157494599</v>
      </c>
      <c r="G545" s="338">
        <f t="shared" si="218"/>
        <v>1</v>
      </c>
      <c r="H545" s="339">
        <f t="shared" si="219"/>
        <v>0</v>
      </c>
      <c r="I545" s="337">
        <f t="shared" si="220"/>
        <v>11050.462505435005</v>
      </c>
      <c r="J545" s="340">
        <f t="shared" si="221"/>
        <v>1.5707058328449037</v>
      </c>
      <c r="K545" s="348">
        <f t="shared" si="237"/>
        <v>12.973201365627897</v>
      </c>
      <c r="L545" s="349">
        <f t="shared" si="238"/>
        <v>1.4936378135830048</v>
      </c>
      <c r="M545" s="337">
        <f t="shared" si="222"/>
        <v>1.030662031309973</v>
      </c>
      <c r="N545" s="340">
        <f t="shared" si="223"/>
        <v>0.24453437852024978</v>
      </c>
      <c r="O545" s="341">
        <f t="shared" si="224"/>
        <v>0.99841227715038439</v>
      </c>
      <c r="P545" s="342">
        <f t="shared" si="225"/>
        <v>0.10338044861268855</v>
      </c>
      <c r="Q545" s="343">
        <f t="shared" si="226"/>
        <v>-3.010388273501325</v>
      </c>
      <c r="R545" s="344">
        <f t="shared" si="227"/>
        <v>-105.16046781934884</v>
      </c>
      <c r="S545" s="346">
        <f t="shared" si="228"/>
        <v>74.839532180651162</v>
      </c>
      <c r="U545" s="319">
        <f t="shared" si="234"/>
        <v>83176</v>
      </c>
      <c r="V545" s="319">
        <f t="shared" si="235"/>
        <v>6918246976</v>
      </c>
      <c r="X545" s="345">
        <f t="shared" si="229"/>
        <v>38.838232929879908</v>
      </c>
      <c r="Y545" s="346">
        <f t="shared" si="230"/>
        <v>-18.426460095259888</v>
      </c>
      <c r="AA545" s="345">
        <f t="shared" si="231"/>
        <v>14.984128954713773</v>
      </c>
      <c r="AB545" s="346">
        <f t="shared" si="232"/>
        <v>-86.734007724088968</v>
      </c>
      <c r="AD545">
        <f t="shared" si="236"/>
        <v>0</v>
      </c>
      <c r="AE545">
        <f t="shared" si="239"/>
        <v>0</v>
      </c>
    </row>
    <row r="546" spans="1:31" x14ac:dyDescent="0.2">
      <c r="A546" s="347">
        <v>83660.5</v>
      </c>
      <c r="B546" s="364">
        <f t="shared" si="233"/>
        <v>83.660499999999999</v>
      </c>
      <c r="C546" s="337">
        <f t="shared" si="214"/>
        <v>206.71790581880933</v>
      </c>
      <c r="D546" s="338">
        <f t="shared" si="215"/>
        <v>1.5659587976203868</v>
      </c>
      <c r="E546" s="338">
        <f t="shared" si="216"/>
        <v>1.0123577093066269</v>
      </c>
      <c r="F546" s="339">
        <f t="shared" si="217"/>
        <v>0.15640828754431493</v>
      </c>
      <c r="G546" s="338">
        <f t="shared" si="218"/>
        <v>1</v>
      </c>
      <c r="H546" s="339">
        <f t="shared" si="219"/>
        <v>0</v>
      </c>
      <c r="I546" s="337">
        <f t="shared" si="220"/>
        <v>11114.831422432286</v>
      </c>
      <c r="J546" s="340">
        <f t="shared" si="221"/>
        <v>1.5707063569192103</v>
      </c>
      <c r="K546" s="348">
        <f t="shared" si="237"/>
        <v>13.048322522526407</v>
      </c>
      <c r="L546" s="349">
        <f t="shared" si="238"/>
        <v>1.4940829027507676</v>
      </c>
      <c r="M546" s="337">
        <f t="shared" si="222"/>
        <v>1.0310148948207538</v>
      </c>
      <c r="N546" s="340">
        <f t="shared" si="223"/>
        <v>0.24590221428411499</v>
      </c>
      <c r="O546" s="341">
        <f t="shared" si="224"/>
        <v>0.99839399472246071</v>
      </c>
      <c r="P546" s="342">
        <f t="shared" si="225"/>
        <v>0.10398672402728222</v>
      </c>
      <c r="Q546" s="343">
        <f t="shared" si="226"/>
        <v>-3.0627305888940448</v>
      </c>
      <c r="R546" s="344">
        <f t="shared" si="227"/>
        <v>-105.19865535720044</v>
      </c>
      <c r="S546" s="346">
        <f t="shared" si="228"/>
        <v>74.801344642799563</v>
      </c>
      <c r="U546" s="319">
        <f t="shared" si="234"/>
        <v>83660.5</v>
      </c>
      <c r="V546" s="319">
        <f t="shared" si="235"/>
        <v>6999079260.25</v>
      </c>
      <c r="X546" s="345">
        <f t="shared" si="229"/>
        <v>38.834961664652624</v>
      </c>
      <c r="Y546" s="346">
        <f t="shared" si="230"/>
        <v>-18.479359608082984</v>
      </c>
      <c r="AA546" s="345">
        <f t="shared" si="231"/>
        <v>14.935057904548339</v>
      </c>
      <c r="AB546" s="346">
        <f t="shared" si="232"/>
        <v>-86.719295749117478</v>
      </c>
      <c r="AD546">
        <f t="shared" si="236"/>
        <v>0</v>
      </c>
      <c r="AE546">
        <f t="shared" si="239"/>
        <v>0</v>
      </c>
    </row>
    <row r="547" spans="1:31" x14ac:dyDescent="0.2">
      <c r="A547" s="347">
        <v>84145</v>
      </c>
      <c r="B547" s="364">
        <f t="shared" si="233"/>
        <v>84.144999999999996</v>
      </c>
      <c r="C547" s="337">
        <f t="shared" si="214"/>
        <v>207.91503574682721</v>
      </c>
      <c r="D547" s="338">
        <f t="shared" si="215"/>
        <v>1.5659866512853078</v>
      </c>
      <c r="E547" s="338">
        <f t="shared" si="216"/>
        <v>1.0125003710832754</v>
      </c>
      <c r="F547" s="339">
        <f t="shared" si="217"/>
        <v>0.15729926307289221</v>
      </c>
      <c r="G547" s="338">
        <f t="shared" si="218"/>
        <v>1</v>
      </c>
      <c r="H547" s="339">
        <f t="shared" si="219"/>
        <v>0</v>
      </c>
      <c r="I547" s="337">
        <f t="shared" si="220"/>
        <v>11179.200339432587</v>
      </c>
      <c r="J547" s="340">
        <f t="shared" si="221"/>
        <v>1.5707068749583635</v>
      </c>
      <c r="K547" s="348">
        <f t="shared" si="237"/>
        <v>13.123446234761019</v>
      </c>
      <c r="L547" s="349">
        <f t="shared" si="238"/>
        <v>1.4945228962777279</v>
      </c>
      <c r="M547" s="337">
        <f t="shared" si="222"/>
        <v>1.0313696860122465</v>
      </c>
      <c r="N547" s="340">
        <f t="shared" si="223"/>
        <v>0.24726911153289055</v>
      </c>
      <c r="O547" s="341">
        <f t="shared" si="224"/>
        <v>0.99837561237260697</v>
      </c>
      <c r="P547" s="342">
        <f t="shared" si="225"/>
        <v>0.10459307051809974</v>
      </c>
      <c r="Q547" s="343">
        <f t="shared" si="226"/>
        <v>-3.1147841120413435</v>
      </c>
      <c r="R547" s="344">
        <f t="shared" si="227"/>
        <v>-105.23708056482988</v>
      </c>
      <c r="S547" s="346">
        <f t="shared" si="228"/>
        <v>74.762919435170119</v>
      </c>
      <c r="U547" s="319">
        <f t="shared" si="234"/>
        <v>84145</v>
      </c>
      <c r="V547" s="319">
        <f t="shared" si="235"/>
        <v>7080381025</v>
      </c>
      <c r="X547" s="345">
        <f t="shared" si="229"/>
        <v>38.831680295664924</v>
      </c>
      <c r="Y547" s="346">
        <f t="shared" si="230"/>
        <v>-18.532496960875786</v>
      </c>
      <c r="AA547" s="345">
        <f t="shared" si="231"/>
        <v>14.88628575038874</v>
      </c>
      <c r="AB547" s="346">
        <f t="shared" si="232"/>
        <v>-86.704583603954106</v>
      </c>
      <c r="AD547">
        <f t="shared" si="236"/>
        <v>0</v>
      </c>
      <c r="AE547">
        <f t="shared" si="239"/>
        <v>0</v>
      </c>
    </row>
    <row r="548" spans="1:31" x14ac:dyDescent="0.2">
      <c r="A548" s="347">
        <v>84629.5</v>
      </c>
      <c r="B548" s="364">
        <f t="shared" si="233"/>
        <v>84.629499999999993</v>
      </c>
      <c r="C548" s="337">
        <f t="shared" si="214"/>
        <v>209.11216583430422</v>
      </c>
      <c r="D548" s="338">
        <f t="shared" si="215"/>
        <v>1.5660141860356596</v>
      </c>
      <c r="E548" s="338">
        <f t="shared" si="216"/>
        <v>1.0126438363937378</v>
      </c>
      <c r="F548" s="339">
        <f t="shared" si="217"/>
        <v>0.15818998685224536</v>
      </c>
      <c r="G548" s="338">
        <f t="shared" si="218"/>
        <v>1</v>
      </c>
      <c r="H548" s="339">
        <f t="shared" si="219"/>
        <v>0</v>
      </c>
      <c r="I548" s="337">
        <f t="shared" si="220"/>
        <v>11243.569256435851</v>
      </c>
      <c r="J548" s="340">
        <f t="shared" si="221"/>
        <v>1.570707387066016</v>
      </c>
      <c r="K548" s="348">
        <f t="shared" si="237"/>
        <v>13.198572458698299</v>
      </c>
      <c r="L548" s="349">
        <f t="shared" si="238"/>
        <v>1.4949578810051576</v>
      </c>
      <c r="M548" s="337">
        <f t="shared" si="222"/>
        <v>1.0317264028957727</v>
      </c>
      <c r="N548" s="340">
        <f t="shared" si="223"/>
        <v>0.24863506612959038</v>
      </c>
      <c r="O548" s="341">
        <f t="shared" si="224"/>
        <v>0.99835713021000061</v>
      </c>
      <c r="P548" s="342">
        <f t="shared" si="225"/>
        <v>0.10519948849396209</v>
      </c>
      <c r="Q548" s="343">
        <f t="shared" si="226"/>
        <v>-3.1665522777332726</v>
      </c>
      <c r="R548" s="344">
        <f t="shared" si="227"/>
        <v>-105.27573865319823</v>
      </c>
      <c r="S548" s="346">
        <f t="shared" si="228"/>
        <v>74.724261346801768</v>
      </c>
      <c r="U548" s="319">
        <f t="shared" si="234"/>
        <v>84629.5</v>
      </c>
      <c r="V548" s="319">
        <f t="shared" si="235"/>
        <v>7162152270.25</v>
      </c>
      <c r="X548" s="345">
        <f t="shared" si="229"/>
        <v>38.828388739517045</v>
      </c>
      <c r="Y548" s="346">
        <f t="shared" si="230"/>
        <v>-18.58586694690694</v>
      </c>
      <c r="AA548" s="345">
        <f t="shared" si="231"/>
        <v>14.837809140844683</v>
      </c>
      <c r="AB548" s="346">
        <f t="shared" si="232"/>
        <v>-86.689871706291285</v>
      </c>
      <c r="AD548">
        <f t="shared" si="236"/>
        <v>0</v>
      </c>
      <c r="AE548">
        <f t="shared" si="239"/>
        <v>0</v>
      </c>
    </row>
    <row r="549" spans="1:31" x14ac:dyDescent="0.2">
      <c r="A549" s="347">
        <v>85114</v>
      </c>
      <c r="B549" s="364">
        <f t="shared" si="233"/>
        <v>85.114000000000004</v>
      </c>
      <c r="C549" s="337">
        <f t="shared" si="214"/>
        <v>210.30929607851735</v>
      </c>
      <c r="D549" s="338">
        <f t="shared" si="215"/>
        <v>1.566041407317412</v>
      </c>
      <c r="E549" s="338">
        <f t="shared" si="216"/>
        <v>1.0127881048965433</v>
      </c>
      <c r="F549" s="339">
        <f t="shared" si="217"/>
        <v>0.15908045757627914</v>
      </c>
      <c r="G549" s="338">
        <f t="shared" si="218"/>
        <v>1</v>
      </c>
      <c r="H549" s="339">
        <f t="shared" si="219"/>
        <v>0</v>
      </c>
      <c r="I549" s="337">
        <f t="shared" si="220"/>
        <v>11307.938173442031</v>
      </c>
      <c r="J549" s="340">
        <f t="shared" si="221"/>
        <v>1.5707078933434606</v>
      </c>
      <c r="K549" s="348">
        <f t="shared" si="237"/>
        <v>13.273701151691197</v>
      </c>
      <c r="L549" s="349">
        <f t="shared" si="238"/>
        <v>1.4953879418159348</v>
      </c>
      <c r="M549" s="337">
        <f t="shared" si="222"/>
        <v>1.032085043474616</v>
      </c>
      <c r="N549" s="340">
        <f t="shared" si="223"/>
        <v>0.25000007395700286</v>
      </c>
      <c r="O549" s="341">
        <f t="shared" si="224"/>
        <v>0.9983385483444599</v>
      </c>
      <c r="P549" s="342">
        <f t="shared" si="225"/>
        <v>0.10580597836363845</v>
      </c>
      <c r="Q549" s="343">
        <f t="shared" si="226"/>
        <v>-3.2180384601251255</v>
      </c>
      <c r="R549" s="344">
        <f t="shared" si="227"/>
        <v>-105.31462493906518</v>
      </c>
      <c r="S549" s="346">
        <f t="shared" si="228"/>
        <v>74.685375060934817</v>
      </c>
      <c r="U549" s="319">
        <f t="shared" si="234"/>
        <v>85114</v>
      </c>
      <c r="V549" s="319">
        <f t="shared" si="235"/>
        <v>7244392996</v>
      </c>
      <c r="X549" s="345">
        <f t="shared" si="229"/>
        <v>38.825086916200966</v>
      </c>
      <c r="Y549" s="346">
        <f t="shared" si="230"/>
        <v>-18.639464472650562</v>
      </c>
      <c r="AA549" s="345">
        <f t="shared" si="231"/>
        <v>14.78962478176892</v>
      </c>
      <c r="AB549" s="346">
        <f t="shared" si="232"/>
        <v>-86.675160466414638</v>
      </c>
      <c r="AD549">
        <f t="shared" si="236"/>
        <v>0</v>
      </c>
      <c r="AE549">
        <f t="shared" si="239"/>
        <v>0</v>
      </c>
    </row>
    <row r="550" spans="1:31" x14ac:dyDescent="0.2">
      <c r="A550" s="347">
        <v>85609.5</v>
      </c>
      <c r="B550" s="364">
        <f t="shared" si="233"/>
        <v>85.609499999999997</v>
      </c>
      <c r="C550" s="337">
        <f t="shared" si="214"/>
        <v>211.5336059097007</v>
      </c>
      <c r="D550" s="338">
        <f t="shared" si="215"/>
        <v>1.566068927947674</v>
      </c>
      <c r="E550" s="338">
        <f t="shared" si="216"/>
        <v>1.0129364792402236</v>
      </c>
      <c r="F550" s="339">
        <f t="shared" si="217"/>
        <v>0.15999088228869651</v>
      </c>
      <c r="G550" s="338">
        <f t="shared" si="218"/>
        <v>1</v>
      </c>
      <c r="H550" s="339">
        <f t="shared" si="219"/>
        <v>0</v>
      </c>
      <c r="I550" s="337">
        <f t="shared" si="220"/>
        <v>11373.768510651522</v>
      </c>
      <c r="J550" s="340">
        <f t="shared" si="221"/>
        <v>1.5707084051882321</v>
      </c>
      <c r="K550" s="348">
        <f t="shared" si="237"/>
        <v>13.350538063222004</v>
      </c>
      <c r="L550" s="349">
        <f t="shared" si="238"/>
        <v>1.4958227602410883</v>
      </c>
      <c r="M550" s="337">
        <f t="shared" si="222"/>
        <v>1.0324538141787507</v>
      </c>
      <c r="N550" s="340">
        <f t="shared" si="223"/>
        <v>0.25139508914804015</v>
      </c>
      <c r="O550" s="341">
        <f t="shared" si="224"/>
        <v>0.99831944159064978</v>
      </c>
      <c r="P550" s="342">
        <f t="shared" si="225"/>
        <v>0.10642631265583898</v>
      </c>
      <c r="Q550" s="343">
        <f t="shared" si="226"/>
        <v>-3.2704053706111651</v>
      </c>
      <c r="R550" s="344">
        <f t="shared" si="227"/>
        <v>-105.35462534705128</v>
      </c>
      <c r="S550" s="346">
        <f t="shared" si="228"/>
        <v>74.645374652948718</v>
      </c>
      <c r="U550" s="319">
        <f t="shared" si="234"/>
        <v>85609.5</v>
      </c>
      <c r="V550" s="319">
        <f t="shared" si="235"/>
        <v>7328986490.25</v>
      </c>
      <c r="X550" s="345">
        <f t="shared" si="229"/>
        <v>38.821699429475608</v>
      </c>
      <c r="Y550" s="346">
        <f t="shared" si="230"/>
        <v>-18.694509021445889</v>
      </c>
      <c r="AA550" s="345">
        <f t="shared" si="231"/>
        <v>14.740645358008235</v>
      </c>
      <c r="AB550" s="346">
        <f t="shared" si="232"/>
        <v>-86.660116325605387</v>
      </c>
      <c r="AD550">
        <f t="shared" si="236"/>
        <v>0</v>
      </c>
      <c r="AE550">
        <f t="shared" si="239"/>
        <v>0</v>
      </c>
    </row>
    <row r="551" spans="1:31" x14ac:dyDescent="0.2">
      <c r="A551" s="347">
        <v>86105</v>
      </c>
      <c r="B551" s="364">
        <f t="shared" si="233"/>
        <v>86.105000000000004</v>
      </c>
      <c r="C551" s="337">
        <f t="shared" si="214"/>
        <v>212.75791589925259</v>
      </c>
      <c r="D551" s="338">
        <f t="shared" si="215"/>
        <v>1.5660961318444295</v>
      </c>
      <c r="E551" s="338">
        <f t="shared" si="216"/>
        <v>1.0130856929334244</v>
      </c>
      <c r="F551" s="339">
        <f t="shared" si="217"/>
        <v>0.16090103956906979</v>
      </c>
      <c r="G551" s="338">
        <f t="shared" si="218"/>
        <v>1</v>
      </c>
      <c r="H551" s="339">
        <f t="shared" si="219"/>
        <v>0</v>
      </c>
      <c r="I551" s="337">
        <f t="shared" si="220"/>
        <v>11439.598847863957</v>
      </c>
      <c r="J551" s="340">
        <f t="shared" si="221"/>
        <v>1.5707089111420776</v>
      </c>
      <c r="K551" s="348">
        <f t="shared" si="237"/>
        <v>13.427377470011161</v>
      </c>
      <c r="L551" s="349">
        <f t="shared" si="238"/>
        <v>1.4962526021696021</v>
      </c>
      <c r="M551" s="337">
        <f t="shared" si="222"/>
        <v>1.0328245926705075</v>
      </c>
      <c r="N551" s="340">
        <f t="shared" si="223"/>
        <v>0.25278910544435845</v>
      </c>
      <c r="O551" s="341">
        <f t="shared" si="224"/>
        <v>0.99830023078961927</v>
      </c>
      <c r="P551" s="342">
        <f t="shared" si="225"/>
        <v>0.10704672300806235</v>
      </c>
      <c r="Q551" s="343">
        <f t="shared" si="226"/>
        <v>-3.3224842984951235</v>
      </c>
      <c r="R551" s="344">
        <f t="shared" si="227"/>
        <v>-105.39485485046765</v>
      </c>
      <c r="S551" s="346">
        <f t="shared" si="228"/>
        <v>74.605145149532348</v>
      </c>
      <c r="U551" s="319">
        <f t="shared" si="234"/>
        <v>86105</v>
      </c>
      <c r="V551" s="319">
        <f t="shared" si="235"/>
        <v>7414071025</v>
      </c>
      <c r="X551" s="345">
        <f t="shared" si="229"/>
        <v>38.818301045201693</v>
      </c>
      <c r="Y551" s="346">
        <f t="shared" si="230"/>
        <v>-18.749781132518919</v>
      </c>
      <c r="AA551" s="345">
        <f t="shared" si="231"/>
        <v>14.691964814398187</v>
      </c>
      <c r="AB551" s="346">
        <f t="shared" si="232"/>
        <v>-86.645073717948733</v>
      </c>
      <c r="AD551">
        <f t="shared" si="236"/>
        <v>0</v>
      </c>
      <c r="AE551">
        <f t="shared" si="239"/>
        <v>0</v>
      </c>
    </row>
    <row r="552" spans="1:31" x14ac:dyDescent="0.2">
      <c r="A552" s="347">
        <v>86600.5</v>
      </c>
      <c r="B552" s="364">
        <f t="shared" si="233"/>
        <v>86.600499999999997</v>
      </c>
      <c r="C552" s="337">
        <f t="shared" si="214"/>
        <v>213.98222604445468</v>
      </c>
      <c r="D552" s="338">
        <f t="shared" si="215"/>
        <v>1.5661230244442581</v>
      </c>
      <c r="E552" s="338">
        <f t="shared" si="216"/>
        <v>1.0132357456053269</v>
      </c>
      <c r="F552" s="339">
        <f t="shared" si="217"/>
        <v>0.16181092802795966</v>
      </c>
      <c r="G552" s="338">
        <f t="shared" si="218"/>
        <v>1</v>
      </c>
      <c r="H552" s="339">
        <f t="shared" si="219"/>
        <v>0</v>
      </c>
      <c r="I552" s="337">
        <f t="shared" si="220"/>
        <v>11505.429185079289</v>
      </c>
      <c r="J552" s="340">
        <f t="shared" si="221"/>
        <v>1.5707094113061153</v>
      </c>
      <c r="K552" s="348">
        <f t="shared" si="237"/>
        <v>13.504219329464389</v>
      </c>
      <c r="L552" s="349">
        <f t="shared" si="238"/>
        <v>1.4966775523932165</v>
      </c>
      <c r="M552" s="337">
        <f t="shared" si="222"/>
        <v>1.0331973767883125</v>
      </c>
      <c r="N552" s="340">
        <f t="shared" si="223"/>
        <v>0.25418211850635863</v>
      </c>
      <c r="O552" s="341">
        <f t="shared" si="224"/>
        <v>0.99828091606091718</v>
      </c>
      <c r="P552" s="342">
        <f t="shared" si="225"/>
        <v>0.10766720985738615</v>
      </c>
      <c r="Q552" s="343">
        <f t="shared" si="226"/>
        <v>-3.3742786652901069</v>
      </c>
      <c r="R552" s="344">
        <f t="shared" si="227"/>
        <v>-105.43530876440317</v>
      </c>
      <c r="S552" s="346">
        <f t="shared" si="228"/>
        <v>74.564691235596825</v>
      </c>
      <c r="U552" s="319">
        <f t="shared" si="234"/>
        <v>86600.5</v>
      </c>
      <c r="V552" s="319">
        <f t="shared" si="235"/>
        <v>7499646600.25</v>
      </c>
      <c r="X552" s="345">
        <f t="shared" si="229"/>
        <v>38.814891688093873</v>
      </c>
      <c r="Y552" s="346">
        <f t="shared" si="230"/>
        <v>-18.80527570481371</v>
      </c>
      <c r="AA552" s="345">
        <f t="shared" si="231"/>
        <v>14.643579804711024</v>
      </c>
      <c r="AB552" s="346">
        <f t="shared" si="232"/>
        <v>-86.630033059589437</v>
      </c>
      <c r="AD552">
        <f t="shared" si="236"/>
        <v>0</v>
      </c>
      <c r="AE552">
        <f t="shared" si="239"/>
        <v>0</v>
      </c>
    </row>
    <row r="553" spans="1:31" x14ac:dyDescent="0.2">
      <c r="A553" s="347">
        <v>87096</v>
      </c>
      <c r="B553" s="364">
        <f t="shared" si="233"/>
        <v>87.096000000000004</v>
      </c>
      <c r="C553" s="337">
        <f t="shared" si="214"/>
        <v>215.20653634265045</v>
      </c>
      <c r="D553" s="338">
        <f t="shared" si="215"/>
        <v>1.5661496110600266</v>
      </c>
      <c r="E553" s="338">
        <f t="shared" si="216"/>
        <v>1.0133866368832467</v>
      </c>
      <c r="F553" s="339">
        <f t="shared" si="217"/>
        <v>0.16272054627852794</v>
      </c>
      <c r="G553" s="338">
        <f t="shared" si="218"/>
        <v>1</v>
      </c>
      <c r="H553" s="339">
        <f t="shared" si="219"/>
        <v>0</v>
      </c>
      <c r="I553" s="337">
        <f t="shared" si="220"/>
        <v>11571.259522297465</v>
      </c>
      <c r="J553" s="340">
        <f t="shared" si="221"/>
        <v>1.570709905779162</v>
      </c>
      <c r="K553" s="348">
        <f t="shared" si="237"/>
        <v>13.58106359995006</v>
      </c>
      <c r="L553" s="349">
        <f t="shared" si="238"/>
        <v>1.4970976937917586</v>
      </c>
      <c r="M553" s="337">
        <f t="shared" si="222"/>
        <v>1.0335721643620246</v>
      </c>
      <c r="N553" s="340">
        <f t="shared" si="223"/>
        <v>0.25557412401625956</v>
      </c>
      <c r="O553" s="341">
        <f t="shared" si="224"/>
        <v>0.99826149752479387</v>
      </c>
      <c r="P553" s="342">
        <f t="shared" si="225"/>
        <v>0.10828777364082971</v>
      </c>
      <c r="Q553" s="343">
        <f t="shared" si="226"/>
        <v>-3.4257918321545757</v>
      </c>
      <c r="R553" s="344">
        <f t="shared" si="227"/>
        <v>-105.47598250736881</v>
      </c>
      <c r="S553" s="346">
        <f t="shared" si="228"/>
        <v>74.524017492631188</v>
      </c>
      <c r="U553" s="319">
        <f t="shared" si="234"/>
        <v>87096</v>
      </c>
      <c r="V553" s="319">
        <f t="shared" si="235"/>
        <v>7585713216</v>
      </c>
      <c r="X553" s="345">
        <f t="shared" si="229"/>
        <v>38.811471286112393</v>
      </c>
      <c r="Y553" s="346">
        <f t="shared" si="230"/>
        <v>-18.86098774793712</v>
      </c>
      <c r="AA553" s="345">
        <f t="shared" si="231"/>
        <v>14.59548703982804</v>
      </c>
      <c r="AB553" s="346">
        <f t="shared" si="232"/>
        <v>-86.614994759431667</v>
      </c>
      <c r="AD553">
        <f t="shared" si="236"/>
        <v>0</v>
      </c>
      <c r="AE553">
        <f t="shared" si="239"/>
        <v>0</v>
      </c>
    </row>
    <row r="554" spans="1:31" x14ac:dyDescent="0.2">
      <c r="A554" s="347">
        <v>87603.25</v>
      </c>
      <c r="B554" s="364">
        <f t="shared" si="233"/>
        <v>87.603250000000003</v>
      </c>
      <c r="C554" s="337">
        <f t="shared" si="214"/>
        <v>216.45987938188969</v>
      </c>
      <c r="D554" s="338">
        <f t="shared" si="215"/>
        <v>1.5661765166020234</v>
      </c>
      <c r="E554" s="338">
        <f t="shared" si="216"/>
        <v>1.0135419745896113</v>
      </c>
      <c r="F554" s="339">
        <f t="shared" si="217"/>
        <v>0.16365145334861803</v>
      </c>
      <c r="G554" s="338">
        <f t="shared" si="218"/>
        <v>1</v>
      </c>
      <c r="H554" s="339">
        <f t="shared" si="219"/>
        <v>0</v>
      </c>
      <c r="I554" s="337">
        <f t="shared" si="220"/>
        <v>11638.650922005549</v>
      </c>
      <c r="J554" s="340">
        <f t="shared" si="221"/>
        <v>1.5707104061836563</v>
      </c>
      <c r="K554" s="348">
        <f t="shared" si="237"/>
        <v>13.659732565945369</v>
      </c>
      <c r="L554" s="349">
        <f t="shared" si="238"/>
        <v>1.4975229015306721</v>
      </c>
      <c r="M554" s="337">
        <f t="shared" si="222"/>
        <v>1.0339579124389262</v>
      </c>
      <c r="N554" s="340">
        <f t="shared" si="223"/>
        <v>0.25699809057943651</v>
      </c>
      <c r="O554" s="341">
        <f t="shared" si="224"/>
        <v>0.99824151110598369</v>
      </c>
      <c r="P554" s="342">
        <f t="shared" si="225"/>
        <v>0.10892313326290642</v>
      </c>
      <c r="Q554" s="343">
        <f t="shared" si="226"/>
        <v>-3.478238718384028</v>
      </c>
      <c r="R554" s="344">
        <f t="shared" si="227"/>
        <v>-105.51784379644884</v>
      </c>
      <c r="S554" s="346">
        <f t="shared" si="228"/>
        <v>74.482156203551156</v>
      </c>
      <c r="U554" s="319">
        <f t="shared" si="234"/>
        <v>87603.25</v>
      </c>
      <c r="V554" s="319">
        <f t="shared" si="235"/>
        <v>7674329410.5625</v>
      </c>
      <c r="X554" s="345">
        <f t="shared" si="229"/>
        <v>38.80795826193684</v>
      </c>
      <c r="Y554" s="346">
        <f t="shared" si="230"/>
        <v>-18.918241084449861</v>
      </c>
      <c r="AA554" s="345">
        <f t="shared" si="231"/>
        <v>14.546553177774138</v>
      </c>
      <c r="AB554" s="346">
        <f t="shared" si="232"/>
        <v>-86.599602711998983</v>
      </c>
      <c r="AD554">
        <f t="shared" si="236"/>
        <v>0</v>
      </c>
      <c r="AE554">
        <f t="shared" si="239"/>
        <v>0</v>
      </c>
    </row>
    <row r="555" spans="1:31" x14ac:dyDescent="0.2">
      <c r="A555" s="347">
        <v>88110.5</v>
      </c>
      <c r="B555" s="364">
        <f t="shared" si="233"/>
        <v>88.110500000000002</v>
      </c>
      <c r="C555" s="337">
        <f t="shared" si="214"/>
        <v>217.71322257602182</v>
      </c>
      <c r="D555" s="338">
        <f t="shared" si="215"/>
        <v>1.5662031123614955</v>
      </c>
      <c r="E555" s="338">
        <f t="shared" si="216"/>
        <v>1.0136981903496312</v>
      </c>
      <c r="F555" s="339">
        <f t="shared" si="217"/>
        <v>0.16458207431046493</v>
      </c>
      <c r="G555" s="338">
        <f t="shared" si="218"/>
        <v>1</v>
      </c>
      <c r="H555" s="339">
        <f t="shared" si="219"/>
        <v>0</v>
      </c>
      <c r="I555" s="337">
        <f t="shared" si="220"/>
        <v>11706.042321716512</v>
      </c>
      <c r="J555" s="340">
        <f t="shared" si="221"/>
        <v>1.5707109008265179</v>
      </c>
      <c r="K555" s="348">
        <f t="shared" si="237"/>
        <v>13.738403973358158</v>
      </c>
      <c r="L555" s="349">
        <f t="shared" si="238"/>
        <v>1.4979432395373729</v>
      </c>
      <c r="M555" s="337">
        <f t="shared" si="222"/>
        <v>1.0343457554861673</v>
      </c>
      <c r="N555" s="340">
        <f t="shared" si="223"/>
        <v>0.25842099215188646</v>
      </c>
      <c r="O555" s="341">
        <f t="shared" si="224"/>
        <v>0.99822141615540327</v>
      </c>
      <c r="P555" s="342">
        <f t="shared" si="225"/>
        <v>0.10955857443776175</v>
      </c>
      <c r="Q555" s="343">
        <f t="shared" si="226"/>
        <v>-3.5303978508093592</v>
      </c>
      <c r="R555" s="344">
        <f t="shared" si="227"/>
        <v>-105.5599260672348</v>
      </c>
      <c r="S555" s="346">
        <f t="shared" si="228"/>
        <v>74.440073932765202</v>
      </c>
      <c r="U555" s="319">
        <f t="shared" si="234"/>
        <v>88110.5</v>
      </c>
      <c r="V555" s="319">
        <f t="shared" si="235"/>
        <v>7763460210.25</v>
      </c>
      <c r="X555" s="345">
        <f t="shared" si="229"/>
        <v>38.804433520035218</v>
      </c>
      <c r="Y555" s="346">
        <f t="shared" si="230"/>
        <v>-18.975712086474886</v>
      </c>
      <c r="AA555" s="345">
        <f t="shared" si="231"/>
        <v>14.497918787250425</v>
      </c>
      <c r="AB555" s="346">
        <f t="shared" si="232"/>
        <v>-86.584213980759912</v>
      </c>
      <c r="AD555">
        <f t="shared" si="236"/>
        <v>0</v>
      </c>
      <c r="AE555">
        <f t="shared" si="239"/>
        <v>0</v>
      </c>
    </row>
    <row r="556" spans="1:31" x14ac:dyDescent="0.2">
      <c r="A556" s="347">
        <v>88617.75</v>
      </c>
      <c r="B556" s="364">
        <f t="shared" si="233"/>
        <v>88.617750000000001</v>
      </c>
      <c r="C556" s="337">
        <f t="shared" si="214"/>
        <v>218.9665659223871</v>
      </c>
      <c r="D556" s="338">
        <f t="shared" si="215"/>
        <v>1.5662294036579001</v>
      </c>
      <c r="E556" s="338">
        <f t="shared" si="216"/>
        <v>1.0138552837574326</v>
      </c>
      <c r="F556" s="339">
        <f t="shared" si="217"/>
        <v>0.16551240768475578</v>
      </c>
      <c r="G556" s="338">
        <f t="shared" si="218"/>
        <v>1</v>
      </c>
      <c r="H556" s="339">
        <f t="shared" si="219"/>
        <v>0</v>
      </c>
      <c r="I556" s="337">
        <f t="shared" si="220"/>
        <v>11773.433721430309</v>
      </c>
      <c r="J556" s="340">
        <f t="shared" si="221"/>
        <v>1.5707113898066853</v>
      </c>
      <c r="K556" s="348">
        <f t="shared" si="237"/>
        <v>13.817077780485743</v>
      </c>
      <c r="L556" s="349">
        <f t="shared" si="238"/>
        <v>1.4983587908461391</v>
      </c>
      <c r="M556" s="337">
        <f t="shared" si="222"/>
        <v>1.0347356911480161</v>
      </c>
      <c r="N556" s="340">
        <f t="shared" si="223"/>
        <v>0.25984282417265897</v>
      </c>
      <c r="O556" s="341">
        <f t="shared" si="224"/>
        <v>0.99820121280434793</v>
      </c>
      <c r="P556" s="342">
        <f t="shared" si="225"/>
        <v>0.11019409763405492</v>
      </c>
      <c r="Q556" s="343">
        <f t="shared" si="226"/>
        <v>-3.5822726479092633</v>
      </c>
      <c r="R556" s="344">
        <f t="shared" si="227"/>
        <v>-105.60222472295152</v>
      </c>
      <c r="S556" s="346">
        <f t="shared" si="228"/>
        <v>74.397775277048481</v>
      </c>
      <c r="U556" s="319">
        <f t="shared" si="234"/>
        <v>88617.75</v>
      </c>
      <c r="V556" s="319">
        <f t="shared" si="235"/>
        <v>7853105615.0625</v>
      </c>
      <c r="X556" s="345">
        <f t="shared" si="229"/>
        <v>38.8008969930086</v>
      </c>
      <c r="Y556" s="346">
        <f t="shared" si="230"/>
        <v>-19.033395740844036</v>
      </c>
      <c r="AA556" s="345">
        <f t="shared" si="231"/>
        <v>14.449580517177147</v>
      </c>
      <c r="AB556" s="346">
        <f t="shared" si="232"/>
        <v>-86.568828982107476</v>
      </c>
      <c r="AD556">
        <f t="shared" si="236"/>
        <v>0</v>
      </c>
      <c r="AE556">
        <f t="shared" si="239"/>
        <v>0</v>
      </c>
    </row>
    <row r="557" spans="1:31" x14ac:dyDescent="0.2">
      <c r="A557" s="347">
        <v>89125</v>
      </c>
      <c r="B557" s="364">
        <f t="shared" si="233"/>
        <v>89.125</v>
      </c>
      <c r="C557" s="337">
        <f t="shared" si="214"/>
        <v>220.21990941838629</v>
      </c>
      <c r="D557" s="338">
        <f t="shared" si="215"/>
        <v>1.5662553956895973</v>
      </c>
      <c r="E557" s="338">
        <f t="shared" si="216"/>
        <v>1.0140132544051135</v>
      </c>
      <c r="F557" s="339">
        <f t="shared" si="217"/>
        <v>0.16644245199508315</v>
      </c>
      <c r="G557" s="338">
        <f t="shared" si="218"/>
        <v>1</v>
      </c>
      <c r="H557" s="339">
        <f t="shared" si="219"/>
        <v>0</v>
      </c>
      <c r="I557" s="337">
        <f t="shared" si="220"/>
        <v>11840.825121146885</v>
      </c>
      <c r="J557" s="340">
        <f t="shared" si="221"/>
        <v>1.570711873220846</v>
      </c>
      <c r="K557" s="348">
        <f t="shared" si="237"/>
        <v>13.895753946568615</v>
      </c>
      <c r="L557" s="349">
        <f t="shared" si="238"/>
        <v>1.4987696366174259</v>
      </c>
      <c r="M557" s="337">
        <f t="shared" si="222"/>
        <v>1.0351277170595907</v>
      </c>
      <c r="N557" s="340">
        <f t="shared" si="223"/>
        <v>0.26126358210495509</v>
      </c>
      <c r="O557" s="341">
        <f t="shared" si="224"/>
        <v>0.99818090118488345</v>
      </c>
      <c r="P557" s="342">
        <f t="shared" si="225"/>
        <v>0.11082970332037918</v>
      </c>
      <c r="Q557" s="343">
        <f t="shared" si="226"/>
        <v>-3.6338664678429349</v>
      </c>
      <c r="R557" s="344">
        <f t="shared" si="227"/>
        <v>-105.64473526833223</v>
      </c>
      <c r="S557" s="346">
        <f t="shared" si="228"/>
        <v>74.355264731667774</v>
      </c>
      <c r="U557" s="319">
        <f t="shared" si="234"/>
        <v>89125</v>
      </c>
      <c r="V557" s="319">
        <f t="shared" si="235"/>
        <v>7943265625</v>
      </c>
      <c r="X557" s="345">
        <f t="shared" si="229"/>
        <v>38.797348616576656</v>
      </c>
      <c r="Y557" s="346">
        <f t="shared" si="230"/>
        <v>-19.091287143006127</v>
      </c>
      <c r="AA557" s="345">
        <f t="shared" si="231"/>
        <v>14.401535073675415</v>
      </c>
      <c r="AB557" s="346">
        <f t="shared" si="232"/>
        <v>-86.553448125326099</v>
      </c>
      <c r="AD557">
        <f t="shared" si="236"/>
        <v>0</v>
      </c>
      <c r="AE557">
        <f t="shared" si="239"/>
        <v>0</v>
      </c>
    </row>
    <row r="558" spans="1:31" x14ac:dyDescent="0.2">
      <c r="A558" s="347">
        <v>89644</v>
      </c>
      <c r="B558" s="364">
        <f t="shared" si="233"/>
        <v>89.644000000000005</v>
      </c>
      <c r="C558" s="337">
        <f t="shared" si="214"/>
        <v>221.50228566607319</v>
      </c>
      <c r="D558" s="338">
        <f t="shared" si="215"/>
        <v>1.5662816853590358</v>
      </c>
      <c r="E558" s="338">
        <f t="shared" si="216"/>
        <v>1.0141757918322754</v>
      </c>
      <c r="F558" s="339">
        <f t="shared" si="217"/>
        <v>0.16739373924143261</v>
      </c>
      <c r="G558" s="338">
        <f t="shared" si="218"/>
        <v>1</v>
      </c>
      <c r="H558" s="339">
        <f t="shared" si="219"/>
        <v>0</v>
      </c>
      <c r="I558" s="337">
        <f t="shared" si="220"/>
        <v>11909.777583353571</v>
      </c>
      <c r="J558" s="340">
        <f t="shared" si="221"/>
        <v>1.5707123621705217</v>
      </c>
      <c r="K558" s="348">
        <f t="shared" si="237"/>
        <v>13.976254976825896</v>
      </c>
      <c r="L558" s="349">
        <f t="shared" si="238"/>
        <v>1.4991852117106135</v>
      </c>
      <c r="M558" s="337">
        <f t="shared" si="222"/>
        <v>1.0355309848691152</v>
      </c>
      <c r="N558" s="340">
        <f t="shared" si="223"/>
        <v>0.26271613424121043</v>
      </c>
      <c r="O558" s="341">
        <f t="shared" si="224"/>
        <v>0.99816000714380815</v>
      </c>
      <c r="P558" s="342">
        <f t="shared" si="225"/>
        <v>0.1114801181203086</v>
      </c>
      <c r="Q558" s="343">
        <f t="shared" si="226"/>
        <v>-3.6863680385732751</v>
      </c>
      <c r="R558" s="344">
        <f t="shared" si="227"/>
        <v>-105.68844525690669</v>
      </c>
      <c r="S558" s="346">
        <f t="shared" si="228"/>
        <v>74.311554743093311</v>
      </c>
      <c r="U558" s="319">
        <f t="shared" si="234"/>
        <v>89644</v>
      </c>
      <c r="V558" s="319">
        <f t="shared" si="235"/>
        <v>8036046736</v>
      </c>
      <c r="X558" s="345">
        <f t="shared" si="229"/>
        <v>38.79370571693957</v>
      </c>
      <c r="Y558" s="346">
        <f t="shared" si="230"/>
        <v>-19.1507295658466</v>
      </c>
      <c r="AA558" s="345">
        <f t="shared" si="231"/>
        <v>14.35267640258216</v>
      </c>
      <c r="AB558" s="346">
        <f t="shared" si="232"/>
        <v>-86.5377156910601</v>
      </c>
      <c r="AD558">
        <f t="shared" si="236"/>
        <v>0</v>
      </c>
      <c r="AE558">
        <f t="shared" si="239"/>
        <v>0</v>
      </c>
    </row>
    <row r="559" spans="1:31" x14ac:dyDescent="0.2">
      <c r="A559" s="347">
        <v>90163</v>
      </c>
      <c r="B559" s="364">
        <f t="shared" si="233"/>
        <v>90.162999999999997</v>
      </c>
      <c r="C559" s="337">
        <f t="shared" si="214"/>
        <v>222.7846620650883</v>
      </c>
      <c r="D559" s="338">
        <f t="shared" si="215"/>
        <v>1.5663076723752363</v>
      </c>
      <c r="E559" s="338">
        <f t="shared" si="216"/>
        <v>1.0143392467405961</v>
      </c>
      <c r="F559" s="339">
        <f t="shared" si="217"/>
        <v>0.16834472075925419</v>
      </c>
      <c r="G559" s="338">
        <f t="shared" si="218"/>
        <v>1</v>
      </c>
      <c r="H559" s="339">
        <f t="shared" si="219"/>
        <v>0</v>
      </c>
      <c r="I559" s="337">
        <f t="shared" si="220"/>
        <v>11978.730045563068</v>
      </c>
      <c r="J559" s="340">
        <f t="shared" si="221"/>
        <v>1.5707128454911725</v>
      </c>
      <c r="K559" s="348">
        <f t="shared" si="237"/>
        <v>14.056758393173082</v>
      </c>
      <c r="L559" s="349">
        <f t="shared" si="238"/>
        <v>1.4995960268556099</v>
      </c>
      <c r="M559" s="337">
        <f t="shared" si="222"/>
        <v>1.0359364358497098</v>
      </c>
      <c r="N559" s="340">
        <f t="shared" si="223"/>
        <v>0.26416755242079559</v>
      </c>
      <c r="O559" s="341">
        <f t="shared" si="224"/>
        <v>0.99813900004253087</v>
      </c>
      <c r="P559" s="342">
        <f t="shared" si="225"/>
        <v>0.11213062026840624</v>
      </c>
      <c r="Q559" s="343">
        <f t="shared" si="226"/>
        <v>-3.7385823893349817</v>
      </c>
      <c r="R559" s="344">
        <f t="shared" si="227"/>
        <v>-105.73236785785528</v>
      </c>
      <c r="S559" s="346">
        <f t="shared" si="228"/>
        <v>74.26763214214472</v>
      </c>
      <c r="U559" s="319">
        <f t="shared" si="234"/>
        <v>90163</v>
      </c>
      <c r="V559" s="319">
        <f t="shared" si="235"/>
        <v>8129366569</v>
      </c>
      <c r="X559" s="345">
        <f t="shared" si="229"/>
        <v>38.790050285994212</v>
      </c>
      <c r="Y559" s="346">
        <f t="shared" si="230"/>
        <v>-19.21037942017864</v>
      </c>
      <c r="AA559" s="345">
        <f t="shared" si="231"/>
        <v>14.304117482765813</v>
      </c>
      <c r="AB559" s="346">
        <f t="shared" si="232"/>
        <v>-86.521988437676626</v>
      </c>
      <c r="AD559">
        <f t="shared" si="236"/>
        <v>0</v>
      </c>
      <c r="AE559">
        <f t="shared" si="239"/>
        <v>0</v>
      </c>
    </row>
    <row r="560" spans="1:31" x14ac:dyDescent="0.2">
      <c r="A560" s="347">
        <v>90682</v>
      </c>
      <c r="B560" s="364">
        <f t="shared" si="233"/>
        <v>90.682000000000002</v>
      </c>
      <c r="C560" s="337">
        <f t="shared" si="214"/>
        <v>224.06703861283333</v>
      </c>
      <c r="D560" s="338">
        <f t="shared" si="215"/>
        <v>1.5663333619345829</v>
      </c>
      <c r="E560" s="338">
        <f t="shared" si="216"/>
        <v>1.014503618686607</v>
      </c>
      <c r="F560" s="339">
        <f t="shared" si="217"/>
        <v>0.16929539497667023</v>
      </c>
      <c r="G560" s="338">
        <f t="shared" si="218"/>
        <v>1</v>
      </c>
      <c r="H560" s="339">
        <f t="shared" si="219"/>
        <v>0</v>
      </c>
      <c r="I560" s="337">
        <f t="shared" si="220"/>
        <v>12047.682507775333</v>
      </c>
      <c r="J560" s="340">
        <f t="shared" si="221"/>
        <v>1.5707133232794486</v>
      </c>
      <c r="K560" s="348">
        <f t="shared" si="237"/>
        <v>14.137264154848024</v>
      </c>
      <c r="L560" s="349">
        <f t="shared" si="238"/>
        <v>1.5000021632302483</v>
      </c>
      <c r="M560" s="337">
        <f t="shared" si="222"/>
        <v>1.036344067438995</v>
      </c>
      <c r="N560" s="340">
        <f t="shared" si="223"/>
        <v>0.26561783186307497</v>
      </c>
      <c r="O560" s="341">
        <f t="shared" si="224"/>
        <v>0.99811788002501767</v>
      </c>
      <c r="P560" s="342">
        <f t="shared" si="225"/>
        <v>0.1127812102663712</v>
      </c>
      <c r="Q560" s="343">
        <f t="shared" si="226"/>
        <v>-3.7905129300474405</v>
      </c>
      <c r="R560" s="344">
        <f t="shared" si="227"/>
        <v>-105.77649856819616</v>
      </c>
      <c r="S560" s="346">
        <f t="shared" si="228"/>
        <v>74.22350143180384</v>
      </c>
      <c r="U560" s="319">
        <f t="shared" si="234"/>
        <v>90682</v>
      </c>
      <c r="V560" s="319">
        <f t="shared" si="235"/>
        <v>8223225124</v>
      </c>
      <c r="X560" s="345">
        <f t="shared" si="229"/>
        <v>38.786382264373231</v>
      </c>
      <c r="Y560" s="346">
        <f t="shared" si="230"/>
        <v>-19.270231786482427</v>
      </c>
      <c r="AA560" s="345">
        <f t="shared" si="231"/>
        <v>14.255854963674334</v>
      </c>
      <c r="AB560" s="346">
        <f t="shared" si="232"/>
        <v>-86.506266781713748</v>
      </c>
      <c r="AD560">
        <f t="shared" si="236"/>
        <v>0</v>
      </c>
      <c r="AE560">
        <f t="shared" si="239"/>
        <v>0</v>
      </c>
    </row>
    <row r="561" spans="1:31" x14ac:dyDescent="0.2">
      <c r="A561" s="347">
        <v>91201</v>
      </c>
      <c r="B561" s="364">
        <f t="shared" si="233"/>
        <v>91.200999999999993</v>
      </c>
      <c r="C561" s="337">
        <f t="shared" si="214"/>
        <v>225.34941530676915</v>
      </c>
      <c r="D561" s="338">
        <f t="shared" si="215"/>
        <v>1.5663587591151784</v>
      </c>
      <c r="E561" s="338">
        <f t="shared" si="216"/>
        <v>1.01466890722464</v>
      </c>
      <c r="F561" s="339">
        <f t="shared" si="217"/>
        <v>0.17024576032504063</v>
      </c>
      <c r="G561" s="338">
        <f t="shared" si="218"/>
        <v>1</v>
      </c>
      <c r="H561" s="339">
        <f t="shared" si="219"/>
        <v>0</v>
      </c>
      <c r="I561" s="337">
        <f t="shared" si="220"/>
        <v>12116.634969990317</v>
      </c>
      <c r="J561" s="340">
        <f t="shared" si="221"/>
        <v>1.570713795629799</v>
      </c>
      <c r="K561" s="348">
        <f t="shared" si="237"/>
        <v>14.217772222010648</v>
      </c>
      <c r="L561" s="349">
        <f t="shared" si="238"/>
        <v>1.5004037001799397</v>
      </c>
      <c r="M561" s="337">
        <f t="shared" si="222"/>
        <v>1.036753877064851</v>
      </c>
      <c r="N561" s="340">
        <f t="shared" si="223"/>
        <v>0.26706696781407263</v>
      </c>
      <c r="O561" s="341">
        <f t="shared" si="224"/>
        <v>0.99809664723608071</v>
      </c>
      <c r="P561" s="342">
        <f t="shared" si="225"/>
        <v>0.11343188861582792</v>
      </c>
      <c r="Q561" s="343">
        <f t="shared" si="226"/>
        <v>-3.8421630104704017</v>
      </c>
      <c r="R561" s="344">
        <f t="shared" si="227"/>
        <v>-105.82083298437227</v>
      </c>
      <c r="S561" s="346">
        <f t="shared" si="228"/>
        <v>74.179167015627726</v>
      </c>
      <c r="U561" s="319">
        <f t="shared" si="234"/>
        <v>91201</v>
      </c>
      <c r="V561" s="319">
        <f t="shared" si="235"/>
        <v>8317622401</v>
      </c>
      <c r="X561" s="345">
        <f t="shared" si="229"/>
        <v>38.782701595699969</v>
      </c>
      <c r="Y561" s="346">
        <f t="shared" si="230"/>
        <v>-19.330281851629536</v>
      </c>
      <c r="AA561" s="345">
        <f t="shared" si="231"/>
        <v>14.207885551924637</v>
      </c>
      <c r="AB561" s="346">
        <f t="shared" si="232"/>
        <v>-86.490551132742738</v>
      </c>
      <c r="AD561">
        <f t="shared" si="236"/>
        <v>0</v>
      </c>
      <c r="AE561">
        <f t="shared" si="239"/>
        <v>0</v>
      </c>
    </row>
    <row r="562" spans="1:31" x14ac:dyDescent="0.2">
      <c r="A562" s="347">
        <v>91732</v>
      </c>
      <c r="B562" s="364">
        <f t="shared" si="233"/>
        <v>91.731999999999999</v>
      </c>
      <c r="C562" s="337">
        <f t="shared" si="214"/>
        <v>226.66144247760079</v>
      </c>
      <c r="D562" s="338">
        <f t="shared" si="215"/>
        <v>1.5663844460921545</v>
      </c>
      <c r="E562" s="338">
        <f t="shared" si="216"/>
        <v>1.0148389656222185</v>
      </c>
      <c r="F562" s="339">
        <f t="shared" si="217"/>
        <v>0.17121777814229855</v>
      </c>
      <c r="G562" s="338">
        <f t="shared" si="218"/>
        <v>1</v>
      </c>
      <c r="H562" s="339">
        <f t="shared" si="219"/>
        <v>0</v>
      </c>
      <c r="I562" s="337">
        <f t="shared" si="220"/>
        <v>12187.181708791073</v>
      </c>
      <c r="J562" s="340">
        <f t="shared" si="221"/>
        <v>1.5707142733698294</v>
      </c>
      <c r="K562" s="348">
        <f t="shared" si="237"/>
        <v>14.300144092826276</v>
      </c>
      <c r="L562" s="349">
        <f t="shared" si="238"/>
        <v>1.5008098419322942</v>
      </c>
      <c r="M562" s="337">
        <f t="shared" si="222"/>
        <v>1.0371754135227078</v>
      </c>
      <c r="N562" s="340">
        <f t="shared" si="223"/>
        <v>0.26854842141299295</v>
      </c>
      <c r="O562" s="341">
        <f t="shared" si="224"/>
        <v>0.99807480695480888</v>
      </c>
      <c r="P562" s="342">
        <f t="shared" si="225"/>
        <v>0.11409770351379912</v>
      </c>
      <c r="Q562" s="343">
        <f t="shared" si="226"/>
        <v>-3.8947204821208299</v>
      </c>
      <c r="R562" s="344">
        <f t="shared" si="227"/>
        <v>-105.86639880779994</v>
      </c>
      <c r="S562" s="346">
        <f t="shared" si="228"/>
        <v>74.133601192200061</v>
      </c>
      <c r="U562" s="319">
        <f t="shared" si="234"/>
        <v>91732</v>
      </c>
      <c r="V562" s="319">
        <f t="shared" si="235"/>
        <v>8414759824</v>
      </c>
      <c r="X562" s="345">
        <f t="shared" si="229"/>
        <v>38.77892268003923</v>
      </c>
      <c r="Y562" s="346">
        <f t="shared" si="230"/>
        <v>-19.391920054656055</v>
      </c>
      <c r="AA562" s="345">
        <f t="shared" si="231"/>
        <v>14.159106995934943</v>
      </c>
      <c r="AB562" s="346">
        <f t="shared" si="232"/>
        <v>-86.474478753143856</v>
      </c>
      <c r="AD562">
        <f t="shared" si="236"/>
        <v>0</v>
      </c>
      <c r="AE562">
        <f t="shared" si="239"/>
        <v>0</v>
      </c>
    </row>
    <row r="563" spans="1:31" x14ac:dyDescent="0.2">
      <c r="A563" s="347">
        <v>92263</v>
      </c>
      <c r="B563" s="364">
        <f t="shared" si="233"/>
        <v>92.263000000000005</v>
      </c>
      <c r="C563" s="337">
        <f t="shared" si="214"/>
        <v>227.9734697962669</v>
      </c>
      <c r="D563" s="338">
        <f t="shared" si="215"/>
        <v>1.5664098374030284</v>
      </c>
      <c r="E563" s="338">
        <f t="shared" si="216"/>
        <v>1.0150099825367427</v>
      </c>
      <c r="F563" s="339">
        <f t="shared" si="217"/>
        <v>0.17218946933086271</v>
      </c>
      <c r="G563" s="338">
        <f t="shared" si="218"/>
        <v>1</v>
      </c>
      <c r="H563" s="339">
        <f t="shared" si="219"/>
        <v>0</v>
      </c>
      <c r="I563" s="337">
        <f t="shared" si="220"/>
        <v>12257.728447594576</v>
      </c>
      <c r="J563" s="340">
        <f t="shared" si="221"/>
        <v>1.5707147456107984</v>
      </c>
      <c r="K563" s="348">
        <f t="shared" si="237"/>
        <v>14.382518295447479</v>
      </c>
      <c r="L563" s="349">
        <f t="shared" si="238"/>
        <v>1.5012113314908395</v>
      </c>
      <c r="M563" s="337">
        <f t="shared" si="222"/>
        <v>1.0375992244219345</v>
      </c>
      <c r="N563" s="340">
        <f t="shared" si="223"/>
        <v>0.2700286680489839</v>
      </c>
      <c r="O563" s="341">
        <f t="shared" si="224"/>
        <v>0.99805284893635282</v>
      </c>
      <c r="P563" s="342">
        <f t="shared" si="225"/>
        <v>0.11476361195819014</v>
      </c>
      <c r="Q563" s="343">
        <f t="shared" si="226"/>
        <v>-3.946991281408065</v>
      </c>
      <c r="R563" s="344">
        <f t="shared" si="227"/>
        <v>-105.91216884718447</v>
      </c>
      <c r="S563" s="346">
        <f t="shared" si="228"/>
        <v>74.087831152815525</v>
      </c>
      <c r="U563" s="319">
        <f t="shared" si="234"/>
        <v>92263</v>
      </c>
      <c r="V563" s="319">
        <f t="shared" si="235"/>
        <v>8512461169</v>
      </c>
      <c r="X563" s="345">
        <f t="shared" si="229"/>
        <v>38.775130415506922</v>
      </c>
      <c r="Y563" s="346">
        <f t="shared" si="230"/>
        <v>-19.453755339798647</v>
      </c>
      <c r="AA563" s="345">
        <f t="shared" si="231"/>
        <v>14.110628461180017</v>
      </c>
      <c r="AB563" s="346">
        <f t="shared" si="232"/>
        <v>-86.458413507385814</v>
      </c>
      <c r="AD563">
        <f t="shared" si="236"/>
        <v>0</v>
      </c>
      <c r="AE563">
        <f t="shared" si="239"/>
        <v>0</v>
      </c>
    </row>
    <row r="564" spans="1:31" x14ac:dyDescent="0.2">
      <c r="A564" s="347">
        <v>92794</v>
      </c>
      <c r="B564" s="364">
        <f t="shared" si="233"/>
        <v>92.793999999999997</v>
      </c>
      <c r="C564" s="337">
        <f t="shared" si="214"/>
        <v>229.28549726022968</v>
      </c>
      <c r="D564" s="338">
        <f t="shared" si="215"/>
        <v>1.5664349381233869</v>
      </c>
      <c r="E564" s="338">
        <f t="shared" si="216"/>
        <v>1.0151819574837988</v>
      </c>
      <c r="F564" s="339">
        <f t="shared" si="217"/>
        <v>0.17316083222135972</v>
      </c>
      <c r="G564" s="338">
        <f t="shared" si="218"/>
        <v>1</v>
      </c>
      <c r="H564" s="339">
        <f t="shared" si="219"/>
        <v>0</v>
      </c>
      <c r="I564" s="337">
        <f t="shared" si="220"/>
        <v>12328.275186400782</v>
      </c>
      <c r="J564" s="340">
        <f t="shared" si="221"/>
        <v>1.5707152124471087</v>
      </c>
      <c r="K564" s="348">
        <f t="shared" si="237"/>
        <v>14.464894790036992</v>
      </c>
      <c r="L564" s="349">
        <f t="shared" si="238"/>
        <v>1.5016082482067097</v>
      </c>
      <c r="M564" s="337">
        <f t="shared" si="222"/>
        <v>1.0380253069766652</v>
      </c>
      <c r="N564" s="340">
        <f t="shared" si="223"/>
        <v>0.27150770271756375</v>
      </c>
      <c r="O564" s="341">
        <f t="shared" si="224"/>
        <v>0.99803077333855539</v>
      </c>
      <c r="P564" s="342">
        <f t="shared" si="225"/>
        <v>0.11542961448598454</v>
      </c>
      <c r="Q564" s="343">
        <f t="shared" si="226"/>
        <v>-3.9989788093191581</v>
      </c>
      <c r="R564" s="344">
        <f t="shared" si="227"/>
        <v>-105.95813869193876</v>
      </c>
      <c r="S564" s="346">
        <f t="shared" si="228"/>
        <v>74.041861308061243</v>
      </c>
      <c r="U564" s="319">
        <f t="shared" si="234"/>
        <v>92794</v>
      </c>
      <c r="V564" s="319">
        <f t="shared" si="235"/>
        <v>8610726436</v>
      </c>
      <c r="X564" s="345">
        <f t="shared" si="229"/>
        <v>38.771324750819289</v>
      </c>
      <c r="Y564" s="346">
        <f t="shared" si="230"/>
        <v>-19.515782879245435</v>
      </c>
      <c r="AA564" s="345">
        <f t="shared" si="231"/>
        <v>14.062446597956557</v>
      </c>
      <c r="AB564" s="346">
        <f t="shared" si="232"/>
        <v>-86.442355812693307</v>
      </c>
      <c r="AD564">
        <f t="shared" si="236"/>
        <v>0</v>
      </c>
      <c r="AE564">
        <f t="shared" si="239"/>
        <v>0</v>
      </c>
    </row>
    <row r="565" spans="1:31" x14ac:dyDescent="0.2">
      <c r="A565" s="347">
        <v>93325</v>
      </c>
      <c r="B565" s="364">
        <f t="shared" si="233"/>
        <v>93.325000000000003</v>
      </c>
      <c r="C565" s="337">
        <f t="shared" si="214"/>
        <v>230.59752486700904</v>
      </c>
      <c r="D565" s="338">
        <f t="shared" si="215"/>
        <v>1.5664597532133053</v>
      </c>
      <c r="E565" s="338">
        <f t="shared" si="216"/>
        <v>1.015354889976589</v>
      </c>
      <c r="F565" s="339">
        <f t="shared" si="217"/>
        <v>0.17413186514802204</v>
      </c>
      <c r="G565" s="338">
        <f t="shared" si="218"/>
        <v>1</v>
      </c>
      <c r="H565" s="339">
        <f t="shared" si="219"/>
        <v>0</v>
      </c>
      <c r="I565" s="337">
        <f t="shared" si="220"/>
        <v>12398.821925209646</v>
      </c>
      <c r="J565" s="340">
        <f t="shared" si="221"/>
        <v>1.5707156739710142</v>
      </c>
      <c r="K565" s="348">
        <f t="shared" si="237"/>
        <v>14.547273537658793</v>
      </c>
      <c r="L565" s="349">
        <f t="shared" si="238"/>
        <v>1.5020006696394694</v>
      </c>
      <c r="M565" s="337">
        <f t="shared" si="222"/>
        <v>1.0384536583906863</v>
      </c>
      <c r="N565" s="340">
        <f t="shared" si="223"/>
        <v>0.27298552044365232</v>
      </c>
      <c r="O565" s="341">
        <f t="shared" si="224"/>
        <v>0.99800858032018769</v>
      </c>
      <c r="P565" s="342">
        <f t="shared" si="225"/>
        <v>0.11609571163408156</v>
      </c>
      <c r="Q565" s="343">
        <f t="shared" si="226"/>
        <v>-4.0506864068451671</v>
      </c>
      <c r="R565" s="344">
        <f t="shared" si="227"/>
        <v>-106.00430402885654</v>
      </c>
      <c r="S565" s="346">
        <f t="shared" si="228"/>
        <v>73.995695971143462</v>
      </c>
      <c r="U565" s="319">
        <f t="shared" si="234"/>
        <v>93325</v>
      </c>
      <c r="V565" s="319">
        <f t="shared" si="235"/>
        <v>8709555625</v>
      </c>
      <c r="X565" s="345">
        <f t="shared" si="229"/>
        <v>38.767505637560561</v>
      </c>
      <c r="Y565" s="346">
        <f t="shared" si="230"/>
        <v>-19.577997949395332</v>
      </c>
      <c r="AA565" s="345">
        <f t="shared" si="231"/>
        <v>14.014558113689279</v>
      </c>
      <c r="AB565" s="346">
        <f t="shared" si="232"/>
        <v>-86.426306079461213</v>
      </c>
      <c r="AD565">
        <f t="shared" si="236"/>
        <v>0</v>
      </c>
      <c r="AE565">
        <f t="shared" si="239"/>
        <v>0</v>
      </c>
    </row>
    <row r="566" spans="1:31" x14ac:dyDescent="0.2">
      <c r="A566" s="347">
        <v>93868.5</v>
      </c>
      <c r="B566" s="364">
        <f t="shared" si="233"/>
        <v>93.868499999999997</v>
      </c>
      <c r="C566" s="337">
        <f t="shared" si="214"/>
        <v>231.94043839144555</v>
      </c>
      <c r="D566" s="338">
        <f t="shared" si="215"/>
        <v>1.5664848617262619</v>
      </c>
      <c r="E566" s="338">
        <f t="shared" si="216"/>
        <v>1.015532884497051</v>
      </c>
      <c r="F566" s="339">
        <f t="shared" si="217"/>
        <v>0.17512541322392758</v>
      </c>
      <c r="G566" s="338">
        <f t="shared" si="218"/>
        <v>1</v>
      </c>
      <c r="H566" s="339">
        <f t="shared" si="219"/>
        <v>0</v>
      </c>
      <c r="I566" s="337">
        <f t="shared" si="220"/>
        <v>12471.029368795434</v>
      </c>
      <c r="J566" s="340">
        <f t="shared" si="221"/>
        <v>1.5707161409520525</v>
      </c>
      <c r="K566" s="348">
        <f t="shared" si="237"/>
        <v>14.631593814829914</v>
      </c>
      <c r="L566" s="349">
        <f t="shared" si="238"/>
        <v>1.50239775272655</v>
      </c>
      <c r="M566" s="337">
        <f t="shared" si="222"/>
        <v>1.0388944400805358</v>
      </c>
      <c r="N566" s="340">
        <f t="shared" si="223"/>
        <v>0.27449686131015638</v>
      </c>
      <c r="O566" s="341">
        <f t="shared" si="224"/>
        <v>0.99798574343467605</v>
      </c>
      <c r="P566" s="342">
        <f t="shared" si="225"/>
        <v>0.11677758758310613</v>
      </c>
      <c r="Q566" s="343">
        <f t="shared" si="226"/>
        <v>-4.1033247595588884</v>
      </c>
      <c r="R566" s="344">
        <f t="shared" si="227"/>
        <v>-106.05175416736408</v>
      </c>
      <c r="S566" s="346">
        <f t="shared" si="228"/>
        <v>73.948245832635919</v>
      </c>
      <c r="U566" s="319">
        <f t="shared" si="234"/>
        <v>93868.5</v>
      </c>
      <c r="V566" s="319">
        <f t="shared" si="235"/>
        <v>8811295292.25</v>
      </c>
      <c r="X566" s="345">
        <f t="shared" si="229"/>
        <v>38.763582645709334</v>
      </c>
      <c r="Y566" s="346">
        <f t="shared" si="230"/>
        <v>-19.641866973561513</v>
      </c>
      <c r="AA566" s="345">
        <f t="shared" si="231"/>
        <v>13.965842752826781</v>
      </c>
      <c r="AB566" s="346">
        <f t="shared" si="232"/>
        <v>-86.409887193802561</v>
      </c>
      <c r="AD566">
        <f t="shared" si="236"/>
        <v>0</v>
      </c>
      <c r="AE566">
        <f t="shared" si="239"/>
        <v>0</v>
      </c>
    </row>
    <row r="567" spans="1:31" x14ac:dyDescent="0.2">
      <c r="A567" s="347">
        <v>94412</v>
      </c>
      <c r="B567" s="364">
        <f t="shared" si="233"/>
        <v>94.412000000000006</v>
      </c>
      <c r="C567" s="337">
        <f t="shared" si="214"/>
        <v>233.28335206042252</v>
      </c>
      <c r="D567" s="338">
        <f t="shared" si="215"/>
        <v>1.5665096811610382</v>
      </c>
      <c r="E567" s="338">
        <f t="shared" si="216"/>
        <v>1.015711881136464</v>
      </c>
      <c r="F567" s="339">
        <f t="shared" si="217"/>
        <v>0.17611861209844712</v>
      </c>
      <c r="G567" s="338">
        <f t="shared" si="218"/>
        <v>1</v>
      </c>
      <c r="H567" s="339">
        <f t="shared" si="219"/>
        <v>0</v>
      </c>
      <c r="I567" s="337">
        <f t="shared" si="220"/>
        <v>12543.236812383908</v>
      </c>
      <c r="J567" s="340">
        <f t="shared" si="221"/>
        <v>1.5707166025565666</v>
      </c>
      <c r="K567" s="348">
        <f t="shared" si="237"/>
        <v>14.715916372599029</v>
      </c>
      <c r="L567" s="349">
        <f t="shared" si="238"/>
        <v>1.5027902852834918</v>
      </c>
      <c r="M567" s="337">
        <f t="shared" si="222"/>
        <v>1.039337592746457</v>
      </c>
      <c r="N567" s="340">
        <f t="shared" si="223"/>
        <v>0.27600691681265527</v>
      </c>
      <c r="O567" s="341">
        <f t="shared" si="224"/>
        <v>0.99796278387481363</v>
      </c>
      <c r="P567" s="342">
        <f t="shared" si="225"/>
        <v>0.11745956379760049</v>
      </c>
      <c r="Q567" s="343">
        <f t="shared" si="226"/>
        <v>-4.1556767434643511</v>
      </c>
      <c r="R567" s="344">
        <f t="shared" si="227"/>
        <v>-106.09940026765274</v>
      </c>
      <c r="S567" s="346">
        <f t="shared" si="228"/>
        <v>73.90059973234726</v>
      </c>
      <c r="U567" s="319">
        <f t="shared" si="234"/>
        <v>94412</v>
      </c>
      <c r="V567" s="319">
        <f t="shared" si="235"/>
        <v>8913625744</v>
      </c>
      <c r="X567" s="345">
        <f t="shared" si="229"/>
        <v>38.759645470827849</v>
      </c>
      <c r="Y567" s="346">
        <f t="shared" si="230"/>
        <v>-19.705922769914626</v>
      </c>
      <c r="AA567" s="345">
        <f t="shared" si="231"/>
        <v>13.917427943802803</v>
      </c>
      <c r="AB567" s="346">
        <f t="shared" si="232"/>
        <v>-86.393477497738118</v>
      </c>
      <c r="AD567">
        <f t="shared" si="236"/>
        <v>0</v>
      </c>
      <c r="AE567">
        <f t="shared" si="239"/>
        <v>0</v>
      </c>
    </row>
    <row r="568" spans="1:31" x14ac:dyDescent="0.2">
      <c r="A568" s="347">
        <v>94955.5</v>
      </c>
      <c r="B568" s="364">
        <f t="shared" si="233"/>
        <v>94.955500000000001</v>
      </c>
      <c r="C568" s="337">
        <f t="shared" si="214"/>
        <v>234.62626587145806</v>
      </c>
      <c r="D568" s="338">
        <f t="shared" si="215"/>
        <v>1.5665342164813323</v>
      </c>
      <c r="E568" s="338">
        <f t="shared" si="216"/>
        <v>1.0158918793651182</v>
      </c>
      <c r="F568" s="339">
        <f t="shared" si="217"/>
        <v>0.17711145999721487</v>
      </c>
      <c r="G568" s="338">
        <f t="shared" si="218"/>
        <v>1</v>
      </c>
      <c r="H568" s="339">
        <f t="shared" si="219"/>
        <v>0</v>
      </c>
      <c r="I568" s="337">
        <f t="shared" si="220"/>
        <v>12615.444255975024</v>
      </c>
      <c r="J568" s="340">
        <f t="shared" si="221"/>
        <v>1.5707170588768784</v>
      </c>
      <c r="K568" s="348">
        <f t="shared" si="237"/>
        <v>14.800241171985851</v>
      </c>
      <c r="L568" s="349">
        <f t="shared" si="238"/>
        <v>1.5031783449686136</v>
      </c>
      <c r="M568" s="337">
        <f t="shared" si="222"/>
        <v>1.0397831133569395</v>
      </c>
      <c r="N568" s="340">
        <f t="shared" si="223"/>
        <v>0.27751568171236157</v>
      </c>
      <c r="O568" s="341">
        <f t="shared" si="224"/>
        <v>0.9979397018138737</v>
      </c>
      <c r="P568" s="342">
        <f t="shared" si="225"/>
        <v>0.11814164085300115</v>
      </c>
      <c r="Q568" s="343">
        <f t="shared" si="226"/>
        <v>-4.2077457547892072</v>
      </c>
      <c r="R568" s="344">
        <f t="shared" si="227"/>
        <v>-106.14723800439056</v>
      </c>
      <c r="S568" s="346">
        <f t="shared" si="228"/>
        <v>73.852761995609441</v>
      </c>
      <c r="U568" s="319">
        <f t="shared" si="234"/>
        <v>94955.5</v>
      </c>
      <c r="V568" s="319">
        <f t="shared" si="235"/>
        <v>9016546980.25</v>
      </c>
      <c r="X568" s="345">
        <f t="shared" si="229"/>
        <v>38.755694069734588</v>
      </c>
      <c r="Y568" s="346">
        <f t="shared" si="230"/>
        <v>-19.770160594089994</v>
      </c>
      <c r="AA568" s="345">
        <f t="shared" si="231"/>
        <v>13.869310333571214</v>
      </c>
      <c r="AB568" s="346">
        <f t="shared" si="232"/>
        <v>-86.377077410300572</v>
      </c>
      <c r="AD568">
        <f t="shared" si="236"/>
        <v>0</v>
      </c>
      <c r="AE568">
        <f t="shared" si="239"/>
        <v>0</v>
      </c>
    </row>
    <row r="569" spans="1:31" x14ac:dyDescent="0.2">
      <c r="A569" s="347">
        <v>95499</v>
      </c>
      <c r="B569" s="364">
        <f t="shared" si="233"/>
        <v>95.498999999999995</v>
      </c>
      <c r="C569" s="337">
        <f t="shared" si="214"/>
        <v>235.9691798221267</v>
      </c>
      <c r="D569" s="338">
        <f t="shared" si="215"/>
        <v>1.5665584725378499</v>
      </c>
      <c r="E569" s="338">
        <f t="shared" si="216"/>
        <v>1.016072878650716</v>
      </c>
      <c r="F569" s="339">
        <f t="shared" si="217"/>
        <v>0.17810395514988661</v>
      </c>
      <c r="G569" s="338">
        <f t="shared" si="218"/>
        <v>1</v>
      </c>
      <c r="H569" s="339">
        <f t="shared" si="219"/>
        <v>0</v>
      </c>
      <c r="I569" s="337">
        <f t="shared" si="220"/>
        <v>12687.65169956874</v>
      </c>
      <c r="J569" s="340">
        <f t="shared" si="221"/>
        <v>1.5707175100032069</v>
      </c>
      <c r="K569" s="348">
        <f t="shared" si="237"/>
        <v>14.884568174892408</v>
      </c>
      <c r="L569" s="349">
        <f t="shared" si="238"/>
        <v>1.5035620076858318</v>
      </c>
      <c r="M569" s="337">
        <f t="shared" si="222"/>
        <v>1.0402309988694818</v>
      </c>
      <c r="N569" s="340">
        <f t="shared" si="223"/>
        <v>0.27902315080294232</v>
      </c>
      <c r="O569" s="341">
        <f t="shared" si="224"/>
        <v>0.99791649742614941</v>
      </c>
      <c r="P569" s="342">
        <f t="shared" si="225"/>
        <v>0.11882381932464912</v>
      </c>
      <c r="Q569" s="343">
        <f t="shared" si="226"/>
        <v>-4.2595351298257107</v>
      </c>
      <c r="R569" s="344">
        <f t="shared" si="227"/>
        <v>-106.19526314779456</v>
      </c>
      <c r="S569" s="346">
        <f t="shared" si="228"/>
        <v>73.804736852205437</v>
      </c>
      <c r="U569" s="319">
        <f t="shared" si="234"/>
        <v>95499</v>
      </c>
      <c r="V569" s="319">
        <f t="shared" si="235"/>
        <v>9120059001</v>
      </c>
      <c r="X569" s="345">
        <f t="shared" si="229"/>
        <v>38.751728402003216</v>
      </c>
      <c r="Y569" s="346">
        <f t="shared" si="230"/>
        <v>-19.834575803981824</v>
      </c>
      <c r="AA569" s="345">
        <f t="shared" si="231"/>
        <v>13.821486626266083</v>
      </c>
      <c r="AB569" s="346">
        <f t="shared" si="232"/>
        <v>-86.360687343812756</v>
      </c>
      <c r="AD569">
        <f t="shared" si="236"/>
        <v>0</v>
      </c>
      <c r="AE569">
        <f t="shared" si="239"/>
        <v>0</v>
      </c>
    </row>
    <row r="570" spans="1:31" x14ac:dyDescent="0.2">
      <c r="A570" s="347">
        <v>96611.5</v>
      </c>
      <c r="B570" s="364">
        <f t="shared" si="233"/>
        <v>96.611500000000007</v>
      </c>
      <c r="C570" s="337">
        <f t="shared" si="214"/>
        <v>238.71801515126776</v>
      </c>
      <c r="D570" s="338">
        <f t="shared" si="215"/>
        <v>1.5666072716702992</v>
      </c>
      <c r="E570" s="338">
        <f t="shared" si="216"/>
        <v>1.0164464888077749</v>
      </c>
      <c r="F570" s="339">
        <f t="shared" si="217"/>
        <v>0.18013440403741346</v>
      </c>
      <c r="G570" s="338">
        <f t="shared" si="218"/>
        <v>1</v>
      </c>
      <c r="H570" s="339">
        <f t="shared" si="219"/>
        <v>0</v>
      </c>
      <c r="I570" s="337">
        <f t="shared" si="220"/>
        <v>12835.454424503989</v>
      </c>
      <c r="J570" s="340">
        <f t="shared" si="221"/>
        <v>1.5707184175937154</v>
      </c>
      <c r="K570" s="348">
        <f t="shared" si="237"/>
        <v>15.057185361130971</v>
      </c>
      <c r="L570" s="349">
        <f t="shared" si="238"/>
        <v>1.5043339326699323</v>
      </c>
      <c r="M570" s="337">
        <f t="shared" si="222"/>
        <v>1.0411551456868713</v>
      </c>
      <c r="N570" s="340">
        <f t="shared" si="223"/>
        <v>0.28210475403018348</v>
      </c>
      <c r="O570" s="341">
        <f t="shared" si="224"/>
        <v>0.99786861921963022</v>
      </c>
      <c r="P570" s="342">
        <f t="shared" si="225"/>
        <v>0.12022050147732492</v>
      </c>
      <c r="Q570" s="343">
        <f t="shared" si="226"/>
        <v>-4.3646854488139057</v>
      </c>
      <c r="R570" s="344">
        <f t="shared" si="227"/>
        <v>-106.29413378960885</v>
      </c>
      <c r="S570" s="346">
        <f t="shared" si="228"/>
        <v>73.70586621039115</v>
      </c>
      <c r="U570" s="319">
        <f t="shared" si="234"/>
        <v>96611.5</v>
      </c>
      <c r="V570" s="319">
        <f t="shared" si="235"/>
        <v>9333781932.25</v>
      </c>
      <c r="X570" s="345">
        <f t="shared" si="229"/>
        <v>38.743566359817471</v>
      </c>
      <c r="Y570" s="346">
        <f t="shared" si="230"/>
        <v>-19.966962620603912</v>
      </c>
      <c r="AA570" s="345">
        <f t="shared" si="231"/>
        <v>13.724498349463627</v>
      </c>
      <c r="AB570" s="346">
        <f t="shared" si="232"/>
        <v>-86.327171169004956</v>
      </c>
      <c r="AD570">
        <f t="shared" si="236"/>
        <v>0</v>
      </c>
      <c r="AE570">
        <f t="shared" si="239"/>
        <v>0</v>
      </c>
    </row>
    <row r="571" spans="1:31" x14ac:dyDescent="0.2">
      <c r="A571" s="347">
        <v>97724</v>
      </c>
      <c r="B571" s="364">
        <f t="shared" si="233"/>
        <v>97.724000000000004</v>
      </c>
      <c r="C571" s="337">
        <f t="shared" si="214"/>
        <v>241.46685103593833</v>
      </c>
      <c r="D571" s="338">
        <f t="shared" si="215"/>
        <v>1.566654959753407</v>
      </c>
      <c r="E571" s="338">
        <f t="shared" si="216"/>
        <v>1.0168242864023196</v>
      </c>
      <c r="F571" s="339">
        <f t="shared" si="217"/>
        <v>0.18216335247186491</v>
      </c>
      <c r="G571" s="338">
        <f t="shared" si="218"/>
        <v>1</v>
      </c>
      <c r="H571" s="339">
        <f t="shared" si="219"/>
        <v>0</v>
      </c>
      <c r="I571" s="337">
        <f t="shared" si="220"/>
        <v>12983.25714944957</v>
      </c>
      <c r="J571" s="340">
        <f t="shared" si="221"/>
        <v>1.5707193045200176</v>
      </c>
      <c r="K571" s="348">
        <f t="shared" si="237"/>
        <v>15.229811316081651</v>
      </c>
      <c r="L571" s="349">
        <f t="shared" si="238"/>
        <v>1.5050883589567809</v>
      </c>
      <c r="M571" s="337">
        <f t="shared" si="222"/>
        <v>1.042089162012541</v>
      </c>
      <c r="N571" s="340">
        <f t="shared" si="223"/>
        <v>0.28518086239208662</v>
      </c>
      <c r="O571" s="341">
        <f t="shared" si="224"/>
        <v>0.99782023073188841</v>
      </c>
      <c r="P571" s="342">
        <f t="shared" si="225"/>
        <v>0.12161761589358736</v>
      </c>
      <c r="Q571" s="343">
        <f t="shared" si="226"/>
        <v>-4.4687051692874</v>
      </c>
      <c r="R571" s="344">
        <f t="shared" si="227"/>
        <v>-106.39373809442847</v>
      </c>
      <c r="S571" s="346">
        <f t="shared" si="228"/>
        <v>73.606261905571529</v>
      </c>
      <c r="U571" s="319">
        <f t="shared" si="234"/>
        <v>97724</v>
      </c>
      <c r="V571" s="319">
        <f t="shared" si="235"/>
        <v>9549980176</v>
      </c>
      <c r="X571" s="345">
        <f t="shared" si="229"/>
        <v>38.735344096151614</v>
      </c>
      <c r="Y571" s="346">
        <f t="shared" si="230"/>
        <v>-20.100036022161621</v>
      </c>
      <c r="AA571" s="345">
        <f t="shared" si="231"/>
        <v>13.628700892655996</v>
      </c>
      <c r="AB571" s="346">
        <f t="shared" si="232"/>
        <v>-86.293702072266839</v>
      </c>
      <c r="AD571">
        <f t="shared" si="236"/>
        <v>0</v>
      </c>
      <c r="AE571">
        <f t="shared" si="239"/>
        <v>0</v>
      </c>
    </row>
    <row r="572" spans="1:31" x14ac:dyDescent="0.2">
      <c r="A572" s="347">
        <v>98862</v>
      </c>
      <c r="B572" s="364">
        <f t="shared" si="233"/>
        <v>98.861999999999995</v>
      </c>
      <c r="C572" s="337">
        <f t="shared" si="214"/>
        <v>244.27869450060498</v>
      </c>
      <c r="D572" s="338">
        <f t="shared" si="215"/>
        <v>1.5667026304735368</v>
      </c>
      <c r="E572" s="338">
        <f t="shared" si="216"/>
        <v>1.017215071272668</v>
      </c>
      <c r="F572" s="339">
        <f t="shared" si="217"/>
        <v>0.18423723904177985</v>
      </c>
      <c r="G572" s="338">
        <f t="shared" si="218"/>
        <v>1</v>
      </c>
      <c r="H572" s="339">
        <f t="shared" si="219"/>
        <v>0</v>
      </c>
      <c r="I572" s="337">
        <f t="shared" si="220"/>
        <v>13134.447712145804</v>
      </c>
      <c r="J572" s="340">
        <f t="shared" si="221"/>
        <v>1.5707201911230448</v>
      </c>
      <c r="K572" s="348">
        <f t="shared" si="237"/>
        <v>15.40640285587817</v>
      </c>
      <c r="L572" s="349">
        <f t="shared" si="238"/>
        <v>1.5058425851341695</v>
      </c>
      <c r="M572" s="337">
        <f t="shared" si="222"/>
        <v>1.0430547710432083</v>
      </c>
      <c r="N572" s="340">
        <f t="shared" si="223"/>
        <v>0.28832174885504691</v>
      </c>
      <c r="O572" s="341">
        <f t="shared" si="224"/>
        <v>0.99777020675522732</v>
      </c>
      <c r="P572" s="342">
        <f t="shared" si="225"/>
        <v>0.12304720643552017</v>
      </c>
      <c r="Q572" s="343">
        <f t="shared" si="226"/>
        <v>-4.5739669271824344</v>
      </c>
      <c r="R572" s="344">
        <f t="shared" si="227"/>
        <v>-106.4963503425614</v>
      </c>
      <c r="S572" s="346">
        <f t="shared" si="228"/>
        <v>73.503649657438601</v>
      </c>
      <c r="U572" s="319">
        <f t="shared" si="234"/>
        <v>98862</v>
      </c>
      <c r="V572" s="319">
        <f t="shared" si="235"/>
        <v>9773695044</v>
      </c>
      <c r="X572" s="345">
        <f t="shared" si="229"/>
        <v>38.726870800593233</v>
      </c>
      <c r="Y572" s="346">
        <f t="shared" si="230"/>
        <v>-20.236832382424247</v>
      </c>
      <c r="AA572" s="345">
        <f t="shared" si="231"/>
        <v>13.531912430319341</v>
      </c>
      <c r="AB572" s="346">
        <f t="shared" si="232"/>
        <v>-86.259517960137131</v>
      </c>
      <c r="AD572">
        <f t="shared" si="236"/>
        <v>0</v>
      </c>
      <c r="AE572">
        <f t="shared" si="239"/>
        <v>0</v>
      </c>
    </row>
    <row r="573" spans="1:31" x14ac:dyDescent="0.2">
      <c r="A573" s="347">
        <v>100000</v>
      </c>
      <c r="B573" s="364">
        <f t="shared" si="233"/>
        <v>100</v>
      </c>
      <c r="C573" s="337">
        <f t="shared" si="214"/>
        <v>247.09053850775999</v>
      </c>
      <c r="D573" s="338">
        <f t="shared" si="215"/>
        <v>1.5667492162260537</v>
      </c>
      <c r="E573" s="338">
        <f t="shared" si="216"/>
        <v>1.017610227819435</v>
      </c>
      <c r="F573" s="339">
        <f t="shared" si="217"/>
        <v>0.18630952386316746</v>
      </c>
      <c r="G573" s="338">
        <f t="shared" si="218"/>
        <v>1</v>
      </c>
      <c r="H573" s="339">
        <f t="shared" si="219"/>
        <v>0</v>
      </c>
      <c r="I573" s="337">
        <f t="shared" si="220"/>
        <v>13285.638274852126</v>
      </c>
      <c r="J573" s="340">
        <f t="shared" si="221"/>
        <v>1.5707210575469872</v>
      </c>
      <c r="K573" s="348">
        <f t="shared" si="237"/>
        <v>15.583002961080064</v>
      </c>
      <c r="L573" s="349">
        <f t="shared" si="238"/>
        <v>1.5065797166325821</v>
      </c>
      <c r="M573" s="337">
        <f t="shared" si="222"/>
        <v>1.0440306508910551</v>
      </c>
      <c r="N573" s="340">
        <f t="shared" si="223"/>
        <v>0.2914567944778671</v>
      </c>
      <c r="O573" s="341">
        <f t="shared" si="224"/>
        <v>0.99771965210486524</v>
      </c>
      <c r="P573" s="342">
        <f t="shared" si="225"/>
        <v>0.12447725971881575</v>
      </c>
      <c r="Q573" s="343">
        <f t="shared" si="226"/>
        <v>-4.6781005820020125</v>
      </c>
      <c r="R573" s="344">
        <f t="shared" si="227"/>
        <v>-106.59966235447979</v>
      </c>
      <c r="S573" s="346">
        <f t="shared" si="228"/>
        <v>73.40033764552021</v>
      </c>
      <c r="U573" s="319">
        <f t="shared" si="234"/>
        <v>100000</v>
      </c>
      <c r="V573" s="319">
        <f t="shared" si="235"/>
        <v>10000000000</v>
      </c>
      <c r="X573" s="345">
        <f t="shared" si="229"/>
        <v>38.718334008549903</v>
      </c>
      <c r="Y573" s="346">
        <f t="shared" si="230"/>
        <v>-20.374272383979818</v>
      </c>
      <c r="AA573" s="345">
        <f t="shared" si="231"/>
        <v>13.436315567543089</v>
      </c>
      <c r="AB573" s="346">
        <f t="shared" si="232"/>
        <v>-86.225389970499947</v>
      </c>
      <c r="AD573">
        <f t="shared" si="236"/>
        <v>0</v>
      </c>
      <c r="AE573">
        <f t="shared" si="239"/>
        <v>0</v>
      </c>
    </row>
    <row r="574" spans="1:31" x14ac:dyDescent="0.2">
      <c r="A574" s="347">
        <v>101165</v>
      </c>
      <c r="B574" s="364">
        <f t="shared" si="233"/>
        <v>101.16500000000001</v>
      </c>
      <c r="C574" s="337">
        <f t="shared" si="214"/>
        <v>249.96909640414009</v>
      </c>
      <c r="D574" s="338">
        <f t="shared" si="215"/>
        <v>1.5667958216055331</v>
      </c>
      <c r="E574" s="338">
        <f t="shared" si="216"/>
        <v>1.0180192829591013</v>
      </c>
      <c r="F574" s="339">
        <f t="shared" si="217"/>
        <v>0.18842929954459522</v>
      </c>
      <c r="G574" s="338">
        <f t="shared" si="218"/>
        <v>1</v>
      </c>
      <c r="H574" s="339">
        <f t="shared" si="219"/>
        <v>0</v>
      </c>
      <c r="I574" s="337">
        <f t="shared" si="220"/>
        <v>13440.415959882315</v>
      </c>
      <c r="J574" s="340">
        <f t="shared" si="221"/>
        <v>1.5707219243356343</v>
      </c>
      <c r="K574" s="348">
        <f t="shared" si="237"/>
        <v>15.763801623295256</v>
      </c>
      <c r="L574" s="349">
        <f t="shared" si="238"/>
        <v>1.5073172283450191</v>
      </c>
      <c r="M574" s="337">
        <f t="shared" si="222"/>
        <v>1.0450402934935092</v>
      </c>
      <c r="N574" s="340">
        <f t="shared" si="223"/>
        <v>0.29466012416078474</v>
      </c>
      <c r="O574" s="341">
        <f t="shared" si="224"/>
        <v>0.99766735005025886</v>
      </c>
      <c r="P574" s="342">
        <f t="shared" si="225"/>
        <v>0.12594172705589768</v>
      </c>
      <c r="Q574" s="343">
        <f t="shared" si="226"/>
        <v>-4.7835638093325921</v>
      </c>
      <c r="R574" s="344">
        <f t="shared" si="227"/>
        <v>-106.70611686982471</v>
      </c>
      <c r="S574" s="346">
        <f t="shared" si="228"/>
        <v>73.293883130175288</v>
      </c>
      <c r="U574" s="319">
        <f t="shared" si="234"/>
        <v>101165</v>
      </c>
      <c r="V574" s="319">
        <f t="shared" si="235"/>
        <v>10234357225</v>
      </c>
      <c r="X574" s="345">
        <f t="shared" si="229"/>
        <v>38.709528709745832</v>
      </c>
      <c r="Y574" s="346">
        <f t="shared" si="230"/>
        <v>-20.515603010228574</v>
      </c>
      <c r="AA574" s="345">
        <f t="shared" si="231"/>
        <v>13.339657639016584</v>
      </c>
      <c r="AB574" s="346">
        <f t="shared" si="232"/>
        <v>-86.190513859596123</v>
      </c>
      <c r="AD574">
        <f t="shared" si="236"/>
        <v>0</v>
      </c>
      <c r="AE574">
        <f t="shared" si="239"/>
        <v>0</v>
      </c>
    </row>
    <row r="575" spans="1:31" x14ac:dyDescent="0.2">
      <c r="A575" s="347">
        <v>102330</v>
      </c>
      <c r="B575" s="364">
        <f t="shared" si="233"/>
        <v>102.33</v>
      </c>
      <c r="C575" s="337">
        <f t="shared" si="214"/>
        <v>252.84765483110596</v>
      </c>
      <c r="D575" s="338">
        <f t="shared" si="215"/>
        <v>1.5668413658219524</v>
      </c>
      <c r="E575" s="338">
        <f t="shared" si="216"/>
        <v>1.0184329088298065</v>
      </c>
      <c r="F575" s="339">
        <f t="shared" si="217"/>
        <v>0.19054736288759289</v>
      </c>
      <c r="G575" s="338">
        <f t="shared" si="218"/>
        <v>1</v>
      </c>
      <c r="H575" s="339">
        <f t="shared" si="219"/>
        <v>0</v>
      </c>
      <c r="I575" s="337">
        <f t="shared" si="220"/>
        <v>13595.193644922374</v>
      </c>
      <c r="J575" s="340">
        <f t="shared" si="221"/>
        <v>1.5707227713879623</v>
      </c>
      <c r="K575" s="348">
        <f t="shared" si="237"/>
        <v>15.944608665359342</v>
      </c>
      <c r="L575" s="349">
        <f t="shared" si="238"/>
        <v>1.5080380141224079</v>
      </c>
      <c r="M575" s="337">
        <f t="shared" si="222"/>
        <v>1.0460606388254938</v>
      </c>
      <c r="N575" s="340">
        <f t="shared" si="223"/>
        <v>0.29785723743277692</v>
      </c>
      <c r="O575" s="341">
        <f t="shared" si="224"/>
        <v>0.99761449543041913</v>
      </c>
      <c r="P575" s="342">
        <f t="shared" si="225"/>
        <v>0.12740669053502537</v>
      </c>
      <c r="Q575" s="343">
        <f t="shared" si="226"/>
        <v>-4.8878996156523238</v>
      </c>
      <c r="R575" s="344">
        <f t="shared" si="227"/>
        <v>-106.81323814218527</v>
      </c>
      <c r="S575" s="346">
        <f t="shared" si="228"/>
        <v>73.18676185781473</v>
      </c>
      <c r="U575" s="319">
        <f t="shared" si="234"/>
        <v>102330</v>
      </c>
      <c r="V575" s="319">
        <f t="shared" si="235"/>
        <v>10471428900</v>
      </c>
      <c r="X575" s="345">
        <f t="shared" si="229"/>
        <v>38.700656520382459</v>
      </c>
      <c r="Y575" s="346">
        <f t="shared" si="230"/>
        <v>-20.657534657047169</v>
      </c>
      <c r="AA575" s="345">
        <f t="shared" si="231"/>
        <v>13.244194022060222</v>
      </c>
      <c r="AB575" s="346">
        <f t="shared" si="232"/>
        <v>-86.155703485138105</v>
      </c>
      <c r="AD575">
        <f t="shared" si="236"/>
        <v>0</v>
      </c>
      <c r="AE575">
        <f t="shared" si="239"/>
        <v>0</v>
      </c>
    </row>
    <row r="576" spans="1:31" x14ac:dyDescent="0.2">
      <c r="A576" s="347">
        <v>103520</v>
      </c>
      <c r="B576" s="364">
        <f t="shared" si="233"/>
        <v>103.52</v>
      </c>
      <c r="C576" s="337">
        <f t="shared" si="214"/>
        <v>255.78798542729621</v>
      </c>
      <c r="D576" s="338">
        <f t="shared" si="215"/>
        <v>1.5668868290688946</v>
      </c>
      <c r="E576" s="338">
        <f t="shared" si="216"/>
        <v>1.0188601239134896</v>
      </c>
      <c r="F576" s="339">
        <f t="shared" si="217"/>
        <v>0.19270909280338891</v>
      </c>
      <c r="G576" s="338">
        <f t="shared" si="218"/>
        <v>1</v>
      </c>
      <c r="H576" s="339">
        <f t="shared" si="219"/>
        <v>0</v>
      </c>
      <c r="I576" s="337">
        <f t="shared" si="220"/>
        <v>13753.292739522489</v>
      </c>
      <c r="J576" s="340">
        <f t="shared" si="221"/>
        <v>1.5707236169340786</v>
      </c>
      <c r="K576" s="348">
        <f t="shared" si="237"/>
        <v>16.12930404535507</v>
      </c>
      <c r="L576" s="349">
        <f t="shared" si="238"/>
        <v>1.5087575833404636</v>
      </c>
      <c r="M576" s="337">
        <f t="shared" si="222"/>
        <v>1.0471138971477745</v>
      </c>
      <c r="N576" s="340">
        <f t="shared" si="223"/>
        <v>0.30111649138415847</v>
      </c>
      <c r="O576" s="341">
        <f t="shared" si="224"/>
        <v>0.99755993803347687</v>
      </c>
      <c r="P576" s="342">
        <f t="shared" si="225"/>
        <v>0.12890360910366092</v>
      </c>
      <c r="Q576" s="343">
        <f t="shared" si="226"/>
        <v>-4.9933377623899915</v>
      </c>
      <c r="R576" s="344">
        <f t="shared" si="227"/>
        <v>-106.92331377285633</v>
      </c>
      <c r="S576" s="346">
        <f t="shared" si="228"/>
        <v>73.076686227143668</v>
      </c>
      <c r="U576" s="319">
        <f t="shared" si="234"/>
        <v>103520</v>
      </c>
      <c r="V576" s="319">
        <f t="shared" si="235"/>
        <v>10716390400</v>
      </c>
      <c r="X576" s="345">
        <f t="shared" si="229"/>
        <v>38.691524761861025</v>
      </c>
      <c r="Y576" s="346">
        <f t="shared" si="230"/>
        <v>-20.803096319950711</v>
      </c>
      <c r="AA576" s="345">
        <f t="shared" si="231"/>
        <v>13.147887633843993</v>
      </c>
      <c r="AB576" s="346">
        <f t="shared" si="232"/>
        <v>-86.120217452905592</v>
      </c>
      <c r="AD576">
        <f t="shared" si="236"/>
        <v>0</v>
      </c>
      <c r="AE576">
        <f t="shared" si="239"/>
        <v>0</v>
      </c>
    </row>
    <row r="577" spans="1:31" x14ac:dyDescent="0.2">
      <c r="A577" s="347">
        <v>104710</v>
      </c>
      <c r="B577" s="364">
        <f t="shared" si="233"/>
        <v>104.71</v>
      </c>
      <c r="C577" s="337">
        <f t="shared" si="214"/>
        <v>258.72831654015971</v>
      </c>
      <c r="D577" s="338">
        <f t="shared" si="215"/>
        <v>1.5669312589771627</v>
      </c>
      <c r="E577" s="338">
        <f t="shared" si="216"/>
        <v>1.0192920962041003</v>
      </c>
      <c r="F577" s="339">
        <f t="shared" si="217"/>
        <v>0.19486900053892209</v>
      </c>
      <c r="G577" s="338">
        <f t="shared" si="218"/>
        <v>1</v>
      </c>
      <c r="H577" s="339">
        <f t="shared" si="219"/>
        <v>0</v>
      </c>
      <c r="I577" s="337">
        <f t="shared" si="220"/>
        <v>13911.391834132213</v>
      </c>
      <c r="J577" s="340">
        <f t="shared" si="221"/>
        <v>1.5707244432614023</v>
      </c>
      <c r="K577" s="348">
        <f t="shared" si="237"/>
        <v>16.314007587679441</v>
      </c>
      <c r="L577" s="349">
        <f t="shared" si="238"/>
        <v>1.509460859312572</v>
      </c>
      <c r="M577" s="337">
        <f t="shared" si="222"/>
        <v>1.0481782562617867</v>
      </c>
      <c r="N577" s="340">
        <f t="shared" si="223"/>
        <v>0.30436916069469255</v>
      </c>
      <c r="O577" s="341">
        <f t="shared" si="224"/>
        <v>0.99750480802153196</v>
      </c>
      <c r="P577" s="342">
        <f t="shared" si="225"/>
        <v>0.13040105725796655</v>
      </c>
      <c r="Q577" s="343">
        <f t="shared" si="226"/>
        <v>-5.09765407563129</v>
      </c>
      <c r="R577" s="344">
        <f t="shared" si="227"/>
        <v>-107.03402010478707</v>
      </c>
      <c r="S577" s="346">
        <f t="shared" si="228"/>
        <v>72.965979895212925</v>
      </c>
      <c r="U577" s="319">
        <f t="shared" si="234"/>
        <v>104710</v>
      </c>
      <c r="V577" s="319">
        <f t="shared" si="235"/>
        <v>10964184100</v>
      </c>
      <c r="X577" s="345">
        <f t="shared" si="229"/>
        <v>38.682323007308518</v>
      </c>
      <c r="Y577" s="346">
        <f t="shared" si="230"/>
        <v>-20.949213143796378</v>
      </c>
      <c r="AA577" s="345">
        <f t="shared" si="231"/>
        <v>13.0527730751552</v>
      </c>
      <c r="AB577" s="346">
        <f t="shared" si="232"/>
        <v>-86.084806960990704</v>
      </c>
      <c r="AD577">
        <f t="shared" si="236"/>
        <v>0</v>
      </c>
      <c r="AE577">
        <f t="shared" si="239"/>
        <v>0</v>
      </c>
    </row>
    <row r="578" spans="1:31" x14ac:dyDescent="0.2">
      <c r="A578" s="347">
        <v>105930</v>
      </c>
      <c r="B578" s="364">
        <f t="shared" si="233"/>
        <v>105.93</v>
      </c>
      <c r="C578" s="337">
        <f t="shared" si="214"/>
        <v>261.74277416561245</v>
      </c>
      <c r="D578" s="338">
        <f t="shared" si="215"/>
        <v>1.5669757726804068</v>
      </c>
      <c r="E578" s="338">
        <f t="shared" si="216"/>
        <v>1.0197398908361608</v>
      </c>
      <c r="F578" s="339">
        <f t="shared" si="217"/>
        <v>0.19708144940597164</v>
      </c>
      <c r="G578" s="338">
        <f t="shared" si="218"/>
        <v>1</v>
      </c>
      <c r="H578" s="339">
        <f t="shared" si="219"/>
        <v>0</v>
      </c>
      <c r="I578" s="337">
        <f t="shared" si="220"/>
        <v>14073.476620212325</v>
      </c>
      <c r="J578" s="340">
        <f t="shared" si="221"/>
        <v>1.570725271146898</v>
      </c>
      <c r="K578" s="348">
        <f t="shared" si="237"/>
        <v>16.503375708512593</v>
      </c>
      <c r="L578" s="349">
        <f t="shared" si="238"/>
        <v>1.5101655223492623</v>
      </c>
      <c r="M578" s="337">
        <f t="shared" si="222"/>
        <v>1.0492809366895026</v>
      </c>
      <c r="N578" s="340">
        <f t="shared" si="223"/>
        <v>0.30769694338167652</v>
      </c>
      <c r="O578" s="341">
        <f t="shared" si="224"/>
        <v>0.99744769583733217</v>
      </c>
      <c r="P578" s="342">
        <f t="shared" si="225"/>
        <v>0.13193681228879331</v>
      </c>
      <c r="Q578" s="343">
        <f t="shared" si="226"/>
        <v>-5.2034629229943921</v>
      </c>
      <c r="R578" s="344">
        <f t="shared" si="227"/>
        <v>-107.14813997087026</v>
      </c>
      <c r="S578" s="346">
        <f t="shared" si="228"/>
        <v>72.851860029129739</v>
      </c>
      <c r="U578" s="319">
        <f t="shared" si="234"/>
        <v>105930</v>
      </c>
      <c r="V578" s="319">
        <f t="shared" si="235"/>
        <v>11221164900</v>
      </c>
      <c r="X578" s="345">
        <f t="shared" si="229"/>
        <v>38.672816562214919</v>
      </c>
      <c r="Y578" s="346">
        <f t="shared" si="230"/>
        <v>-21.099554263432655</v>
      </c>
      <c r="AA578" s="345">
        <f t="shared" si="231"/>
        <v>12.956470672885693</v>
      </c>
      <c r="AB578" s="346">
        <f t="shared" si="232"/>
        <v>-86.048585707437624</v>
      </c>
      <c r="AD578">
        <f t="shared" si="236"/>
        <v>0</v>
      </c>
      <c r="AE578">
        <f t="shared" si="239"/>
        <v>0</v>
      </c>
    </row>
    <row r="579" spans="1:31" x14ac:dyDescent="0.2">
      <c r="A579" s="347">
        <v>107150</v>
      </c>
      <c r="B579" s="364">
        <f t="shared" si="233"/>
        <v>107.15</v>
      </c>
      <c r="C579" s="337">
        <f t="shared" si="214"/>
        <v>264.75723229789048</v>
      </c>
      <c r="D579" s="338">
        <f t="shared" si="215"/>
        <v>1.5670192727404548</v>
      </c>
      <c r="E579" s="338">
        <f t="shared" si="216"/>
        <v>1.0201926726274477</v>
      </c>
      <c r="F579" s="339">
        <f t="shared" si="217"/>
        <v>0.19929194522769186</v>
      </c>
      <c r="G579" s="338">
        <f t="shared" si="218"/>
        <v>1</v>
      </c>
      <c r="H579" s="339">
        <f t="shared" si="219"/>
        <v>0</v>
      </c>
      <c r="I579" s="337">
        <f t="shared" si="220"/>
        <v>14235.561406301862</v>
      </c>
      <c r="J579" s="340">
        <f t="shared" si="221"/>
        <v>1.5707260801799383</v>
      </c>
      <c r="K579" s="348">
        <f t="shared" si="237"/>
        <v>16.692751838166579</v>
      </c>
      <c r="L579" s="349">
        <f t="shared" si="238"/>
        <v>1.5108541971822731</v>
      </c>
      <c r="M579" s="337">
        <f t="shared" si="222"/>
        <v>1.0503952125271707</v>
      </c>
      <c r="N579" s="340">
        <f t="shared" si="223"/>
        <v>0.31101770244961019</v>
      </c>
      <c r="O579" s="341">
        <f t="shared" si="224"/>
        <v>0.99738998611964969</v>
      </c>
      <c r="P579" s="342">
        <f t="shared" si="225"/>
        <v>0.13347313675581188</v>
      </c>
      <c r="Q579" s="343">
        <f t="shared" si="226"/>
        <v>-5.308147241421044</v>
      </c>
      <c r="R579" s="344">
        <f t="shared" si="227"/>
        <v>-107.26285883972037</v>
      </c>
      <c r="S579" s="346">
        <f t="shared" si="228"/>
        <v>72.737141160279634</v>
      </c>
      <c r="U579" s="319">
        <f t="shared" si="234"/>
        <v>107150</v>
      </c>
      <c r="V579" s="319">
        <f t="shared" si="235"/>
        <v>11481122500</v>
      </c>
      <c r="X579" s="345">
        <f t="shared" si="229"/>
        <v>38.663236486714666</v>
      </c>
      <c r="Y579" s="346">
        <f t="shared" si="230"/>
        <v>-21.250407935767726</v>
      </c>
      <c r="AA579" s="345">
        <f t="shared" si="231"/>
        <v>12.861366429959297</v>
      </c>
      <c r="AB579" s="346">
        <f t="shared" si="232"/>
        <v>-86.01245090395264</v>
      </c>
      <c r="AD579">
        <f t="shared" si="236"/>
        <v>0</v>
      </c>
      <c r="AE579">
        <f t="shared" si="239"/>
        <v>0</v>
      </c>
    </row>
    <row r="580" spans="1:31" x14ac:dyDescent="0.2">
      <c r="A580" s="347">
        <v>108400</v>
      </c>
      <c r="B580" s="364">
        <f t="shared" si="233"/>
        <v>108.4</v>
      </c>
      <c r="C580" s="337">
        <f t="shared" si="214"/>
        <v>267.84581695759357</v>
      </c>
      <c r="D580" s="338">
        <f t="shared" si="215"/>
        <v>1.5670628269234674</v>
      </c>
      <c r="E580" s="338">
        <f t="shared" si="216"/>
        <v>1.0206617540759728</v>
      </c>
      <c r="F580" s="339">
        <f t="shared" si="217"/>
        <v>0.20155475197429393</v>
      </c>
      <c r="G580" s="338">
        <f t="shared" si="218"/>
        <v>1</v>
      </c>
      <c r="H580" s="339">
        <f t="shared" si="219"/>
        <v>0</v>
      </c>
      <c r="I580" s="337">
        <f t="shared" si="220"/>
        <v>14401.631883862059</v>
      </c>
      <c r="J580" s="340">
        <f t="shared" si="221"/>
        <v>1.570726890219315</v>
      </c>
      <c r="K580" s="348">
        <f t="shared" si="237"/>
        <v>16.886792782789225</v>
      </c>
      <c r="L580" s="349">
        <f t="shared" si="238"/>
        <v>1.5115437856775518</v>
      </c>
      <c r="M580" s="337">
        <f t="shared" si="222"/>
        <v>1.0515488766576664</v>
      </c>
      <c r="N580" s="340">
        <f t="shared" si="223"/>
        <v>0.31441278160820918</v>
      </c>
      <c r="O580" s="341">
        <f t="shared" si="224"/>
        <v>0.99733023988202951</v>
      </c>
      <c r="P580" s="342">
        <f t="shared" si="225"/>
        <v>0.13504783708319953</v>
      </c>
      <c r="Q580" s="343">
        <f t="shared" si="226"/>
        <v>-5.4142668014627002</v>
      </c>
      <c r="R580" s="344">
        <f t="shared" si="227"/>
        <v>-107.38098832540305</v>
      </c>
      <c r="S580" s="346">
        <f t="shared" si="228"/>
        <v>72.619011674596948</v>
      </c>
      <c r="U580" s="319">
        <f t="shared" si="234"/>
        <v>108400</v>
      </c>
      <c r="V580" s="319">
        <f t="shared" si="235"/>
        <v>11750560000</v>
      </c>
      <c r="X580" s="345">
        <f t="shared" si="229"/>
        <v>38.653344492262804</v>
      </c>
      <c r="Y580" s="346">
        <f t="shared" si="230"/>
        <v>-21.405467544302738</v>
      </c>
      <c r="AA580" s="345">
        <f t="shared" si="231"/>
        <v>12.765138864369508</v>
      </c>
      <c r="AB580" s="346">
        <f t="shared" si="232"/>
        <v>-85.975520781100343</v>
      </c>
      <c r="AD580">
        <f t="shared" si="236"/>
        <v>0</v>
      </c>
      <c r="AE580">
        <f t="shared" si="239"/>
        <v>0</v>
      </c>
    </row>
    <row r="581" spans="1:31" x14ac:dyDescent="0.2">
      <c r="A581" s="347">
        <v>109650</v>
      </c>
      <c r="B581" s="364">
        <f t="shared" si="233"/>
        <v>109.65</v>
      </c>
      <c r="C581" s="337">
        <f t="shared" si="214"/>
        <v>270.9344021138071</v>
      </c>
      <c r="D581" s="338">
        <f t="shared" si="215"/>
        <v>1.5671053880927368</v>
      </c>
      <c r="E581" s="338">
        <f t="shared" si="216"/>
        <v>1.0211360567960934</v>
      </c>
      <c r="F581" s="339">
        <f t="shared" si="217"/>
        <v>0.20381546820642865</v>
      </c>
      <c r="G581" s="338">
        <f t="shared" si="218"/>
        <v>1</v>
      </c>
      <c r="H581" s="339">
        <f t="shared" si="219"/>
        <v>0</v>
      </c>
      <c r="I581" s="337">
        <f t="shared" si="220"/>
        <v>14567.702361431493</v>
      </c>
      <c r="J581" s="340">
        <f t="shared" si="221"/>
        <v>1.5707276817899414</v>
      </c>
      <c r="K581" s="348">
        <f t="shared" si="237"/>
        <v>17.080841575176038</v>
      </c>
      <c r="L581" s="349">
        <f t="shared" si="238"/>
        <v>1.5122177061943185</v>
      </c>
      <c r="M581" s="337">
        <f t="shared" si="222"/>
        <v>1.0527146348844971</v>
      </c>
      <c r="N581" s="340">
        <f t="shared" si="223"/>
        <v>0.31780038043700132</v>
      </c>
      <c r="O581" s="341">
        <f t="shared" si="224"/>
        <v>0.99726987111813503</v>
      </c>
      <c r="P581" s="342">
        <f t="shared" si="225"/>
        <v>0.13662314896888278</v>
      </c>
      <c r="Q581" s="343">
        <f t="shared" si="226"/>
        <v>-5.5192605267421522</v>
      </c>
      <c r="R581" s="344">
        <f t="shared" si="227"/>
        <v>-107.4996837924887</v>
      </c>
      <c r="S581" s="346">
        <f t="shared" si="228"/>
        <v>72.500316207511304</v>
      </c>
      <c r="U581" s="319">
        <f t="shared" si="234"/>
        <v>109650</v>
      </c>
      <c r="V581" s="319">
        <f t="shared" si="235"/>
        <v>12023122500</v>
      </c>
      <c r="X581" s="345">
        <f t="shared" si="229"/>
        <v>38.643375289278204</v>
      </c>
      <c r="Y581" s="346">
        <f t="shared" si="230"/>
        <v>-21.560995212371772</v>
      </c>
      <c r="AA581" s="345">
        <f t="shared" si="231"/>
        <v>12.670114342074648</v>
      </c>
      <c r="AB581" s="346">
        <f t="shared" si="232"/>
        <v>-85.938688580116946</v>
      </c>
      <c r="AD581">
        <f t="shared" si="236"/>
        <v>0</v>
      </c>
      <c r="AE581">
        <f t="shared" si="239"/>
        <v>0</v>
      </c>
    </row>
    <row r="582" spans="1:31" x14ac:dyDescent="0.2">
      <c r="A582" s="347">
        <v>110925</v>
      </c>
      <c r="B582" s="364">
        <f t="shared" si="233"/>
        <v>110.925</v>
      </c>
      <c r="C582" s="337">
        <f t="shared" si="214"/>
        <v>274.08475946724241</v>
      </c>
      <c r="D582" s="338">
        <f t="shared" si="215"/>
        <v>1.5671478122968381</v>
      </c>
      <c r="E582" s="338">
        <f t="shared" si="216"/>
        <v>1.0216252169825069</v>
      </c>
      <c r="F582" s="339">
        <f t="shared" si="217"/>
        <v>0.20611922418738507</v>
      </c>
      <c r="G582" s="338">
        <f t="shared" si="218"/>
        <v>1</v>
      </c>
      <c r="H582" s="339">
        <f t="shared" si="219"/>
        <v>0</v>
      </c>
      <c r="I582" s="337">
        <f t="shared" si="220"/>
        <v>14737.094248561505</v>
      </c>
      <c r="J582" s="340">
        <f t="shared" si="221"/>
        <v>1.5707284708129845</v>
      </c>
      <c r="K582" s="348">
        <f t="shared" si="237"/>
        <v>17.278779153974114</v>
      </c>
      <c r="L582" s="349">
        <f t="shared" si="238"/>
        <v>1.5128895107895468</v>
      </c>
      <c r="M582" s="337">
        <f t="shared" si="222"/>
        <v>1.0539161259915326</v>
      </c>
      <c r="N582" s="340">
        <f t="shared" si="223"/>
        <v>0.32124797025610763</v>
      </c>
      <c r="O582" s="341">
        <f t="shared" si="224"/>
        <v>0.99720765619270457</v>
      </c>
      <c r="P582" s="342">
        <f t="shared" si="225"/>
        <v>0.13823060434299908</v>
      </c>
      <c r="Q582" s="343">
        <f t="shared" si="226"/>
        <v>-5.6252214890388625</v>
      </c>
      <c r="R582" s="344">
        <f t="shared" si="227"/>
        <v>-107.62130542028086</v>
      </c>
      <c r="S582" s="346">
        <f t="shared" si="228"/>
        <v>72.378694579719138</v>
      </c>
      <c r="U582" s="319">
        <f t="shared" si="234"/>
        <v>110925</v>
      </c>
      <c r="V582" s="319">
        <f t="shared" si="235"/>
        <v>12304355625</v>
      </c>
      <c r="X582" s="345">
        <f t="shared" si="229"/>
        <v>38.633127262746299</v>
      </c>
      <c r="Y582" s="346">
        <f t="shared" si="230"/>
        <v>-21.720081198406842</v>
      </c>
      <c r="AA582" s="345">
        <f t="shared" si="231"/>
        <v>12.574401406309841</v>
      </c>
      <c r="AB582" s="346">
        <f t="shared" si="232"/>
        <v>-85.901224221874003</v>
      </c>
      <c r="AD582">
        <f t="shared" si="236"/>
        <v>0</v>
      </c>
      <c r="AE582">
        <f t="shared" si="239"/>
        <v>0</v>
      </c>
    </row>
    <row r="583" spans="1:31" x14ac:dyDescent="0.2">
      <c r="A583" s="347">
        <v>112200</v>
      </c>
      <c r="B583" s="364">
        <f t="shared" si="233"/>
        <v>112.2</v>
      </c>
      <c r="C583" s="337">
        <f t="shared" si="214"/>
        <v>277.23511730276795</v>
      </c>
      <c r="D583" s="338">
        <f t="shared" si="215"/>
        <v>1.5671892723271725</v>
      </c>
      <c r="E583" s="338">
        <f t="shared" si="216"/>
        <v>1.022119794025377</v>
      </c>
      <c r="F583" s="339">
        <f t="shared" si="217"/>
        <v>0.20842076291891296</v>
      </c>
      <c r="G583" s="338">
        <f t="shared" si="218"/>
        <v>1</v>
      </c>
      <c r="H583" s="339">
        <f t="shared" si="219"/>
        <v>0</v>
      </c>
      <c r="I583" s="337">
        <f t="shared" si="220"/>
        <v>14906.486135700485</v>
      </c>
      <c r="J583" s="340">
        <f t="shared" si="221"/>
        <v>1.5707292419036858</v>
      </c>
      <c r="K583" s="348">
        <f t="shared" si="237"/>
        <v>17.476724354409885</v>
      </c>
      <c r="L583" s="349">
        <f t="shared" si="238"/>
        <v>1.5135460976641353</v>
      </c>
      <c r="M583" s="337">
        <f t="shared" si="222"/>
        <v>1.0551301151990686</v>
      </c>
      <c r="N583" s="340">
        <f t="shared" si="223"/>
        <v>0.32468766757162471</v>
      </c>
      <c r="O583" s="341">
        <f t="shared" si="224"/>
        <v>0.99714479876953765</v>
      </c>
      <c r="P583" s="342">
        <f t="shared" si="225"/>
        <v>0.13983871061691805</v>
      </c>
      <c r="Q583" s="343">
        <f t="shared" si="226"/>
        <v>-5.7300652781301533</v>
      </c>
      <c r="R583" s="344">
        <f t="shared" si="227"/>
        <v>-107.7434548144055</v>
      </c>
      <c r="S583" s="346">
        <f t="shared" si="228"/>
        <v>72.256545185594504</v>
      </c>
      <c r="U583" s="319">
        <f t="shared" si="234"/>
        <v>112200</v>
      </c>
      <c r="V583" s="319">
        <f t="shared" si="235"/>
        <v>12588840000</v>
      </c>
      <c r="X583" s="345">
        <f t="shared" si="229"/>
        <v>38.622799147099613</v>
      </c>
      <c r="Y583" s="346">
        <f t="shared" si="230"/>
        <v>-21.879585861015926</v>
      </c>
      <c r="AA583" s="345">
        <f t="shared" si="231"/>
        <v>12.479885732865238</v>
      </c>
      <c r="AB583" s="346">
        <f t="shared" si="232"/>
        <v>-85.863868953389598</v>
      </c>
      <c r="AD583">
        <f t="shared" si="236"/>
        <v>0</v>
      </c>
      <c r="AE583">
        <f t="shared" si="239"/>
        <v>0</v>
      </c>
    </row>
    <row r="584" spans="1:31" x14ac:dyDescent="0.2">
      <c r="A584" s="347">
        <v>113510</v>
      </c>
      <c r="B584" s="364">
        <f t="shared" si="233"/>
        <v>113.51</v>
      </c>
      <c r="C584" s="337">
        <f t="shared" si="214"/>
        <v>280.47195603451235</v>
      </c>
      <c r="D584" s="338">
        <f t="shared" si="215"/>
        <v>1.5672309003870208</v>
      </c>
      <c r="E584" s="338">
        <f t="shared" si="216"/>
        <v>1.0226335813760161</v>
      </c>
      <c r="F584" s="339">
        <f t="shared" si="217"/>
        <v>0.21078314953433824</v>
      </c>
      <c r="G584" s="338">
        <f t="shared" si="218"/>
        <v>1</v>
      </c>
      <c r="H584" s="339">
        <f t="shared" si="219"/>
        <v>0</v>
      </c>
      <c r="I584" s="337">
        <f t="shared" si="220"/>
        <v>15080.527996220926</v>
      </c>
      <c r="J584" s="340">
        <f t="shared" si="221"/>
        <v>1.570730016119237</v>
      </c>
      <c r="K584" s="348">
        <f t="shared" si="237"/>
        <v>17.680111013931992</v>
      </c>
      <c r="L584" s="349">
        <f t="shared" si="238"/>
        <v>1.5142053950808645</v>
      </c>
      <c r="M584" s="337">
        <f t="shared" si="222"/>
        <v>1.056390401745491</v>
      </c>
      <c r="N584" s="340">
        <f t="shared" si="223"/>
        <v>0.32821351069274074</v>
      </c>
      <c r="O584" s="341">
        <f t="shared" si="224"/>
        <v>0.99707954945045563</v>
      </c>
      <c r="P584" s="342">
        <f t="shared" si="225"/>
        <v>0.14149164669296194</v>
      </c>
      <c r="Q584" s="343">
        <f t="shared" si="226"/>
        <v>-5.8366507714799232</v>
      </c>
      <c r="R584" s="344">
        <f t="shared" si="227"/>
        <v>-107.86947673493458</v>
      </c>
      <c r="S584" s="346">
        <f t="shared" si="228"/>
        <v>72.13052326506542</v>
      </c>
      <c r="U584" s="319">
        <f t="shared" si="234"/>
        <v>113510</v>
      </c>
      <c r="V584" s="319">
        <f t="shared" si="235"/>
        <v>12884520100</v>
      </c>
      <c r="X584" s="345">
        <f t="shared" si="229"/>
        <v>38.612104276830692</v>
      </c>
      <c r="Y584" s="346">
        <f t="shared" si="230"/>
        <v>-22.043871191129874</v>
      </c>
      <c r="AA584" s="345">
        <f t="shared" si="231"/>
        <v>12.383995109784392</v>
      </c>
      <c r="AB584" s="346">
        <f t="shared" si="232"/>
        <v>-85.82560554380467</v>
      </c>
      <c r="AD584">
        <f t="shared" si="236"/>
        <v>0</v>
      </c>
      <c r="AE584">
        <f t="shared" si="239"/>
        <v>0</v>
      </c>
    </row>
    <row r="585" spans="1:31" x14ac:dyDescent="0.2">
      <c r="A585" s="347">
        <v>114820</v>
      </c>
      <c r="B585" s="364">
        <f t="shared" si="233"/>
        <v>114.82</v>
      </c>
      <c r="C585" s="337">
        <f t="shared" si="214"/>
        <v>283.70879524119505</v>
      </c>
      <c r="D585" s="338">
        <f t="shared" si="215"/>
        <v>1.5672715785762363</v>
      </c>
      <c r="E585" s="338">
        <f t="shared" si="216"/>
        <v>1.0231530701618445</v>
      </c>
      <c r="F585" s="339">
        <f t="shared" si="217"/>
        <v>0.21314315038528694</v>
      </c>
      <c r="G585" s="338">
        <f t="shared" si="218"/>
        <v>1</v>
      </c>
      <c r="H585" s="339">
        <f t="shared" si="219"/>
        <v>0</v>
      </c>
      <c r="I585" s="337">
        <f t="shared" si="220"/>
        <v>15254.5698567502</v>
      </c>
      <c r="J585" s="340">
        <f t="shared" si="221"/>
        <v>1.5707307726684869</v>
      </c>
      <c r="K585" s="348">
        <f t="shared" si="237"/>
        <v>17.883505183718082</v>
      </c>
      <c r="L585" s="349">
        <f t="shared" si="238"/>
        <v>1.5148496960198494</v>
      </c>
      <c r="M585" s="337">
        <f t="shared" si="222"/>
        <v>1.0576637894907814</v>
      </c>
      <c r="N585" s="340">
        <f t="shared" si="223"/>
        <v>0.33173090748616069</v>
      </c>
      <c r="O585" s="341">
        <f t="shared" si="224"/>
        <v>0.99701362760577383</v>
      </c>
      <c r="P585" s="342">
        <f t="shared" si="225"/>
        <v>0.14314528569549659</v>
      </c>
      <c r="Q585" s="343">
        <f t="shared" si="226"/>
        <v>-5.9421113937308263</v>
      </c>
      <c r="R585" s="344">
        <f t="shared" si="227"/>
        <v>-107.99599548459089</v>
      </c>
      <c r="S585" s="346">
        <f t="shared" si="228"/>
        <v>72.004004515409108</v>
      </c>
      <c r="U585" s="319">
        <f t="shared" si="234"/>
        <v>114820</v>
      </c>
      <c r="V585" s="319">
        <f t="shared" si="235"/>
        <v>13183632400</v>
      </c>
      <c r="X585" s="345">
        <f t="shared" si="229"/>
        <v>38.601325258641424</v>
      </c>
      <c r="Y585" s="346">
        <f t="shared" si="230"/>
        <v>-22.208530804992709</v>
      </c>
      <c r="AA585" s="345">
        <f t="shared" si="231"/>
        <v>12.289313505722754</v>
      </c>
      <c r="AB585" s="346">
        <f t="shared" si="232"/>
        <v>-85.787464679598187</v>
      </c>
      <c r="AD585">
        <f t="shared" si="236"/>
        <v>0</v>
      </c>
      <c r="AE585">
        <f t="shared" si="239"/>
        <v>0</v>
      </c>
    </row>
    <row r="586" spans="1:31" x14ac:dyDescent="0.2">
      <c r="A586" s="347">
        <v>116155</v>
      </c>
      <c r="B586" s="364">
        <f t="shared" si="233"/>
        <v>116.155</v>
      </c>
      <c r="C586" s="337">
        <f t="shared" si="214"/>
        <v>287.0074066604468</v>
      </c>
      <c r="D586" s="338">
        <f t="shared" si="215"/>
        <v>1.567312089105851</v>
      </c>
      <c r="E586" s="338">
        <f t="shared" si="216"/>
        <v>1.0236883295510262</v>
      </c>
      <c r="F586" s="339">
        <f t="shared" si="217"/>
        <v>0.21554571149097757</v>
      </c>
      <c r="G586" s="338">
        <f t="shared" si="218"/>
        <v>1</v>
      </c>
      <c r="H586" s="339">
        <f t="shared" si="219"/>
        <v>0</v>
      </c>
      <c r="I586" s="337">
        <f t="shared" si="220"/>
        <v>15431.933126840338</v>
      </c>
      <c r="J586" s="340">
        <f t="shared" si="221"/>
        <v>1.5707315260993207</v>
      </c>
      <c r="K586" s="348">
        <f t="shared" si="237"/>
        <v>18.090788385981618</v>
      </c>
      <c r="L586" s="349">
        <f t="shared" si="238"/>
        <v>1.5154913874335276</v>
      </c>
      <c r="M586" s="337">
        <f t="shared" si="222"/>
        <v>1.0589749082131266</v>
      </c>
      <c r="N586" s="340">
        <f t="shared" si="223"/>
        <v>0.33530668212703429</v>
      </c>
      <c r="O586" s="341">
        <f t="shared" si="224"/>
        <v>0.99694575887139947</v>
      </c>
      <c r="P586" s="342">
        <f t="shared" si="225"/>
        <v>0.14483121415456229</v>
      </c>
      <c r="Q586" s="343">
        <f t="shared" si="226"/>
        <v>-6.0484544356467289</v>
      </c>
      <c r="R586" s="344">
        <f t="shared" si="227"/>
        <v>-108.12541029506399</v>
      </c>
      <c r="S586" s="346">
        <f t="shared" si="228"/>
        <v>71.874589704936014</v>
      </c>
      <c r="U586" s="319">
        <f t="shared" si="234"/>
        <v>116155</v>
      </c>
      <c r="V586" s="319">
        <f t="shared" si="235"/>
        <v>13491984025</v>
      </c>
      <c r="X586" s="345">
        <f t="shared" si="229"/>
        <v>38.590254221392406</v>
      </c>
      <c r="Y586" s="346">
        <f t="shared" si="230"/>
        <v>-22.376684559250197</v>
      </c>
      <c r="AA586" s="345">
        <f t="shared" si="231"/>
        <v>12.194041501055874</v>
      </c>
      <c r="AB586" s="346">
        <f t="shared" si="232"/>
        <v>-85.748725735813764</v>
      </c>
      <c r="AD586">
        <f t="shared" si="236"/>
        <v>0</v>
      </c>
      <c r="AE586">
        <f t="shared" si="239"/>
        <v>0</v>
      </c>
    </row>
    <row r="587" spans="1:31" x14ac:dyDescent="0.2">
      <c r="A587" s="347">
        <v>117490</v>
      </c>
      <c r="B587" s="364">
        <f t="shared" si="233"/>
        <v>117.49</v>
      </c>
      <c r="C587" s="337">
        <f t="shared" si="214"/>
        <v>290.30601854000344</v>
      </c>
      <c r="D587" s="338">
        <f t="shared" si="215"/>
        <v>1.5673516790310245</v>
      </c>
      <c r="E587" s="338">
        <f t="shared" si="216"/>
        <v>1.0242294917802408</v>
      </c>
      <c r="F587" s="339">
        <f t="shared" si="217"/>
        <v>0.21794574760231619</v>
      </c>
      <c r="G587" s="338">
        <f t="shared" si="218"/>
        <v>1</v>
      </c>
      <c r="H587" s="339">
        <f t="shared" si="219"/>
        <v>0</v>
      </c>
      <c r="I587" s="337">
        <f t="shared" si="220"/>
        <v>15609.296396939038</v>
      </c>
      <c r="J587" s="340">
        <f t="shared" si="221"/>
        <v>1.5707322624081841</v>
      </c>
      <c r="K587" s="348">
        <f t="shared" si="237"/>
        <v>18.298078868677507</v>
      </c>
      <c r="L587" s="349">
        <f t="shared" si="238"/>
        <v>1.516118540249402</v>
      </c>
      <c r="M587" s="337">
        <f t="shared" si="222"/>
        <v>1.0602995335753005</v>
      </c>
      <c r="N587" s="340">
        <f t="shared" si="223"/>
        <v>0.33887356789586892</v>
      </c>
      <c r="O587" s="341">
        <f t="shared" si="224"/>
        <v>0.99687719793306639</v>
      </c>
      <c r="P587" s="342">
        <f t="shared" si="225"/>
        <v>0.14651788939802388</v>
      </c>
      <c r="Q587" s="343">
        <f t="shared" si="226"/>
        <v>-6.153683157844851</v>
      </c>
      <c r="R587" s="344">
        <f t="shared" si="227"/>
        <v>-108.25528254232735</v>
      </c>
      <c r="S587" s="346">
        <f t="shared" si="228"/>
        <v>71.74471745767265</v>
      </c>
      <c r="U587" s="319">
        <f t="shared" si="234"/>
        <v>117490</v>
      </c>
      <c r="V587" s="319">
        <f t="shared" si="235"/>
        <v>13803900100</v>
      </c>
      <c r="X587" s="345">
        <f t="shared" si="229"/>
        <v>38.579096350925973</v>
      </c>
      <c r="Y587" s="346">
        <f t="shared" si="230"/>
        <v>-22.545161037933163</v>
      </c>
      <c r="AA587" s="345">
        <f t="shared" si="231"/>
        <v>12.099970649324183</v>
      </c>
      <c r="AB587" s="346">
        <f t="shared" si="232"/>
        <v>-85.710121504394209</v>
      </c>
      <c r="AD587">
        <f t="shared" si="236"/>
        <v>0</v>
      </c>
      <c r="AE587">
        <f t="shared" si="239"/>
        <v>0</v>
      </c>
    </row>
    <row r="588" spans="1:31" x14ac:dyDescent="0.2">
      <c r="A588" s="347">
        <v>118860</v>
      </c>
      <c r="B588" s="364">
        <f t="shared" si="233"/>
        <v>118.86</v>
      </c>
      <c r="C588" s="337">
        <f t="shared" si="214"/>
        <v>293.69111134312101</v>
      </c>
      <c r="D588" s="338">
        <f t="shared" si="215"/>
        <v>1.567391382301671</v>
      </c>
      <c r="E588" s="338">
        <f t="shared" si="216"/>
        <v>1.0247909689781025</v>
      </c>
      <c r="F588" s="339">
        <f t="shared" si="217"/>
        <v>0.22040605607127936</v>
      </c>
      <c r="G588" s="338">
        <f t="shared" si="218"/>
        <v>1</v>
      </c>
      <c r="H588" s="339">
        <f t="shared" si="219"/>
        <v>0</v>
      </c>
      <c r="I588" s="337">
        <f t="shared" si="220"/>
        <v>15791.309640419709</v>
      </c>
      <c r="J588" s="340">
        <f t="shared" si="221"/>
        <v>1.5707330008248892</v>
      </c>
      <c r="K588" s="348">
        <f t="shared" si="237"/>
        <v>18.510811246048959</v>
      </c>
      <c r="L588" s="349">
        <f t="shared" si="238"/>
        <v>1.516747531666621</v>
      </c>
      <c r="M588" s="337">
        <f t="shared" si="222"/>
        <v>1.0616728763606991</v>
      </c>
      <c r="N588" s="340">
        <f t="shared" si="223"/>
        <v>0.34252466593089237</v>
      </c>
      <c r="O588" s="341">
        <f t="shared" si="224"/>
        <v>0.99680612321330997</v>
      </c>
      <c r="P588" s="342">
        <f t="shared" si="225"/>
        <v>0.14824956987167368</v>
      </c>
      <c r="Q588" s="343">
        <f t="shared" si="226"/>
        <v>-6.2605391955462943</v>
      </c>
      <c r="R588" s="344">
        <f t="shared" si="227"/>
        <v>-108.389006325954</v>
      </c>
      <c r="S588" s="346">
        <f t="shared" si="228"/>
        <v>71.610993674046</v>
      </c>
      <c r="U588" s="319">
        <f t="shared" si="234"/>
        <v>118860</v>
      </c>
      <c r="V588" s="319">
        <f t="shared" si="235"/>
        <v>14127699600</v>
      </c>
      <c r="X588" s="345">
        <f t="shared" si="229"/>
        <v>38.567556017235461</v>
      </c>
      <c r="Y588" s="346">
        <f t="shared" si="230"/>
        <v>-22.718357300730528</v>
      </c>
      <c r="AA588" s="345">
        <f t="shared" si="231"/>
        <v>12.004654945313257</v>
      </c>
      <c r="AB588" s="346">
        <f t="shared" si="232"/>
        <v>-85.670649025223483</v>
      </c>
      <c r="AD588">
        <f t="shared" si="236"/>
        <v>0</v>
      </c>
      <c r="AE588">
        <f t="shared" si="239"/>
        <v>0</v>
      </c>
    </row>
    <row r="589" spans="1:31" x14ac:dyDescent="0.2">
      <c r="A589" s="347">
        <v>120230</v>
      </c>
      <c r="B589" s="364">
        <f t="shared" si="233"/>
        <v>120.23</v>
      </c>
      <c r="C589" s="337">
        <f t="shared" ref="C589:C613" si="240">SQRT(1+(A589/pole1)^2)</f>
        <v>297.07620459864785</v>
      </c>
      <c r="D589" s="338">
        <f t="shared" ref="D589:D613" si="241">ATAN(A589/pole1)</f>
        <v>1.5674301807589213</v>
      </c>
      <c r="E589" s="338">
        <f t="shared" ref="E589:E613" si="242">SQRT(1+(A589/Zero1)^2)</f>
        <v>1.02535864254088</v>
      </c>
      <c r="F589" s="339">
        <f t="shared" ref="F589:F613" si="243">ATAN(A589/Zero1)</f>
        <v>0.22286365518113643</v>
      </c>
      <c r="G589" s="338">
        <f t="shared" ref="G589:G613" si="244">IF(VIN_nom&gt;Vout, 1, SQRT(1+(A589/z_RHP)^2))</f>
        <v>1</v>
      </c>
      <c r="H589" s="339">
        <f t="shared" ref="H589:H613" si="245">IF(VIN_nom&gt;Vout, 0, -ATAN(A589/z_RHP))</f>
        <v>0</v>
      </c>
      <c r="I589" s="337">
        <f t="shared" ref="I589:I613" si="246">SQRT(1+(A589/Pole2)^2)</f>
        <v>15973.322883908793</v>
      </c>
      <c r="J589" s="340">
        <f t="shared" ref="J589:J613" si="247">ATAN(A589/Pole2)</f>
        <v>1.5707337224133335</v>
      </c>
      <c r="K589" s="348">
        <f t="shared" si="237"/>
        <v>18.723550780440593</v>
      </c>
      <c r="L589" s="349">
        <f t="shared" si="238"/>
        <v>1.5173622299501284</v>
      </c>
      <c r="M589" s="337">
        <f t="shared" ref="M589:M613" si="248">SQRT(1+(A589/pole4)^2)</f>
        <v>1.0630603351174381</v>
      </c>
      <c r="N589" s="340">
        <f t="shared" ref="N589:N613" si="249">ATAN(A589/pole4)</f>
        <v>0.34616628190608456</v>
      </c>
      <c r="O589" s="341">
        <f t="shared" ref="O589:O613" si="250">SQRT((1-(V589/pterm2))^2+(A589/pterm1)^2)</f>
        <v>0.99673432639525283</v>
      </c>
      <c r="P589" s="342">
        <f t="shared" ref="P589:P613" si="251">IF((ATAN((A589/pterm1)/(1-A589^2/pterm2))&gt;0),ATAN((A589/pterm1)/(1-A589^2/pterm2)),PI()+ATAN((A589/pterm1)/(1-A589^2/pterm2)))</f>
        <v>0.14998205484451033</v>
      </c>
      <c r="Q589" s="343">
        <f t="shared" ref="Q589:Q613" si="252">20*LOG10(((E589*K589*G589)/(C589*I589*O589*M589))*Adc)</f>
        <v>-6.3662757528369518</v>
      </c>
      <c r="R589" s="344">
        <f t="shared" ref="R589:R613" si="253">((F589+L589+H589)-(D589+J589+P589+N589))*radconv</f>
        <v>-108.52315428688223</v>
      </c>
      <c r="S589" s="346">
        <f t="shared" ref="S589:S613" si="254">IF(R589&gt;0,R589,R589+180)</f>
        <v>71.476845713117768</v>
      </c>
      <c r="U589" s="319">
        <f t="shared" si="234"/>
        <v>120230</v>
      </c>
      <c r="V589" s="319">
        <f t="shared" si="235"/>
        <v>14455252900</v>
      </c>
      <c r="X589" s="345">
        <f t="shared" ref="X589:X613" si="255">20*LOG10((K589/(I589*M589))*AEA)</f>
        <v>38.555924966017969</v>
      </c>
      <c r="Y589" s="346">
        <f t="shared" ref="Y589:Y613" si="256">(L589-(J589+N589))*radconv</f>
        <v>-22.891828253568189</v>
      </c>
      <c r="AA589" s="345">
        <f t="shared" ref="AA589:AA613" si="257">20*LOG10((E589*G589/(C589*O589))*Acs*Am)</f>
        <v>11.910549439240084</v>
      </c>
      <c r="AB589" s="346">
        <f t="shared" ref="AB589:AB613" si="258">(F589+H589-(D589+P589))*radconv</f>
        <v>-85.631326033314053</v>
      </c>
      <c r="AD589">
        <f t="shared" si="236"/>
        <v>0</v>
      </c>
      <c r="AE589">
        <f t="shared" si="239"/>
        <v>0</v>
      </c>
    </row>
    <row r="590" spans="1:31" x14ac:dyDescent="0.2">
      <c r="A590" s="347">
        <v>126030</v>
      </c>
      <c r="B590" s="364">
        <f t="shared" ref="B590:B613" si="259">A590/1000</f>
        <v>126.03</v>
      </c>
      <c r="C590" s="337">
        <f t="shared" si="240"/>
        <v>311.40726100971938</v>
      </c>
      <c r="D590" s="338">
        <f t="shared" si="241"/>
        <v>1.5675850923637189</v>
      </c>
      <c r="E590" s="338">
        <f t="shared" si="242"/>
        <v>1.0278303393040733</v>
      </c>
      <c r="F590" s="339">
        <f t="shared" si="243"/>
        <v>0.23323749831036336</v>
      </c>
      <c r="G590" s="338">
        <f t="shared" si="244"/>
        <v>1</v>
      </c>
      <c r="H590" s="339">
        <f t="shared" si="245"/>
        <v>0</v>
      </c>
      <c r="I590" s="337">
        <f t="shared" si="246"/>
        <v>16743.889900226859</v>
      </c>
      <c r="J590" s="340">
        <f t="shared" si="247"/>
        <v>1.5707366035163424</v>
      </c>
      <c r="K590" s="348">
        <f t="shared" si="237"/>
        <v>19.624273834174435</v>
      </c>
      <c r="L590" s="349">
        <f t="shared" si="238"/>
        <v>1.5198169484328916</v>
      </c>
      <c r="M590" s="337">
        <f t="shared" si="248"/>
        <v>1.0690893545910931</v>
      </c>
      <c r="N590" s="340">
        <f t="shared" si="249"/>
        <v>0.36147695546362857</v>
      </c>
      <c r="O590" s="341">
        <f t="shared" si="250"/>
        <v>0.99642245177184441</v>
      </c>
      <c r="P590" s="342">
        <f t="shared" si="251"/>
        <v>0.15732578538583958</v>
      </c>
      <c r="Q590" s="343">
        <f t="shared" si="252"/>
        <v>-6.8020981228354298</v>
      </c>
      <c r="R590" s="344">
        <f t="shared" si="253"/>
        <v>-109.09517444838986</v>
      </c>
      <c r="S590" s="346">
        <f t="shared" si="254"/>
        <v>70.904825551610145</v>
      </c>
      <c r="U590" s="319">
        <f t="shared" ref="U590:U613" si="260">IF(Q590&lt;0,A590,1000000000)</f>
        <v>126030</v>
      </c>
      <c r="V590" s="319">
        <f t="shared" ref="V590:V613" si="261">A590^2</f>
        <v>15883560900</v>
      </c>
      <c r="X590" s="345">
        <f t="shared" si="255"/>
        <v>38.505689012472679</v>
      </c>
      <c r="Y590" s="346">
        <f t="shared" si="256"/>
        <v>-23.628585296847529</v>
      </c>
      <c r="AA590" s="345">
        <f t="shared" si="257"/>
        <v>11.524963022786899</v>
      </c>
      <c r="AB590" s="346">
        <f t="shared" si="258"/>
        <v>-85.466589151542323</v>
      </c>
      <c r="AD590">
        <f t="shared" ref="AD590:AD613" si="262">SUM((Q591&lt;0)*(Q590&gt;0))*A590</f>
        <v>0</v>
      </c>
      <c r="AE590">
        <f t="shared" si="239"/>
        <v>0</v>
      </c>
    </row>
    <row r="591" spans="1:31" x14ac:dyDescent="0.2">
      <c r="A591" s="347">
        <v>131830</v>
      </c>
      <c r="B591" s="364">
        <f t="shared" si="259"/>
        <v>131.83000000000001</v>
      </c>
      <c r="C591" s="337">
        <f t="shared" si="240"/>
        <v>325.73832423625845</v>
      </c>
      <c r="D591" s="338">
        <f t="shared" si="241"/>
        <v>1.5677263731039526</v>
      </c>
      <c r="E591" s="338">
        <f t="shared" si="242"/>
        <v>1.0304121101133801</v>
      </c>
      <c r="F591" s="339">
        <f t="shared" si="243"/>
        <v>0.24356046301321194</v>
      </c>
      <c r="G591" s="338">
        <f t="shared" si="244"/>
        <v>1</v>
      </c>
      <c r="H591" s="339">
        <f t="shared" si="245"/>
        <v>0</v>
      </c>
      <c r="I591" s="337">
        <f t="shared" si="246"/>
        <v>17514.456916671679</v>
      </c>
      <c r="J591" s="340">
        <f t="shared" si="247"/>
        <v>1.5707392311050159</v>
      </c>
      <c r="K591" s="348">
        <f t="shared" si="237"/>
        <v>20.525104757922065</v>
      </c>
      <c r="L591" s="349">
        <f t="shared" si="238"/>
        <v>1.5220562080595093</v>
      </c>
      <c r="M591" s="337">
        <f t="shared" si="248"/>
        <v>1.0753661423440855</v>
      </c>
      <c r="N591" s="340">
        <f t="shared" si="249"/>
        <v>0.3766124099384468</v>
      </c>
      <c r="O591" s="341">
        <f t="shared" si="250"/>
        <v>0.99609797677679512</v>
      </c>
      <c r="P591" s="342">
        <f t="shared" si="251"/>
        <v>0.16468479034529704</v>
      </c>
      <c r="Q591" s="343">
        <f t="shared" si="252"/>
        <v>-7.2200988729681592</v>
      </c>
      <c r="R591" s="344">
        <f t="shared" si="253"/>
        <v>-109.67249494156995</v>
      </c>
      <c r="S591" s="346">
        <f t="shared" si="254"/>
        <v>70.327505058430049</v>
      </c>
      <c r="U591" s="319">
        <f t="shared" si="260"/>
        <v>131830</v>
      </c>
      <c r="V591" s="319">
        <f t="shared" si="261"/>
        <v>17379148900</v>
      </c>
      <c r="X591" s="345">
        <f t="shared" si="255"/>
        <v>38.453871366890255</v>
      </c>
      <c r="Y591" s="346">
        <f t="shared" si="256"/>
        <v>-24.367633384013548</v>
      </c>
      <c r="AA591" s="345">
        <f t="shared" si="257"/>
        <v>11.158779918236597</v>
      </c>
      <c r="AB591" s="346">
        <f t="shared" si="258"/>
        <v>-85.304861557556407</v>
      </c>
      <c r="AD591">
        <f t="shared" si="262"/>
        <v>0</v>
      </c>
      <c r="AE591">
        <f t="shared" si="239"/>
        <v>0</v>
      </c>
    </row>
    <row r="592" spans="1:31" x14ac:dyDescent="0.2">
      <c r="A592" s="347">
        <v>144540</v>
      </c>
      <c r="B592" s="364">
        <f t="shared" si="259"/>
        <v>144.54</v>
      </c>
      <c r="C592" s="337">
        <f t="shared" si="240"/>
        <v>357.14313950995313</v>
      </c>
      <c r="D592" s="338">
        <f t="shared" si="241"/>
        <v>1.567996325349982</v>
      </c>
      <c r="E592" s="338">
        <f t="shared" si="242"/>
        <v>1.036450582269812</v>
      </c>
      <c r="F592" s="339">
        <f t="shared" si="243"/>
        <v>0.26599533271042208</v>
      </c>
      <c r="G592" s="338">
        <f t="shared" si="244"/>
        <v>1</v>
      </c>
      <c r="H592" s="339">
        <f t="shared" si="245"/>
        <v>0</v>
      </c>
      <c r="I592" s="337">
        <f t="shared" si="246"/>
        <v>19203.06153411169</v>
      </c>
      <c r="J592" s="340">
        <f t="shared" si="247"/>
        <v>1.5707442517651584</v>
      </c>
      <c r="K592" s="348">
        <f t="shared" si="237"/>
        <v>22.499480901208305</v>
      </c>
      <c r="L592" s="349">
        <f t="shared" si="238"/>
        <v>1.5263362109948679</v>
      </c>
      <c r="M592" s="337">
        <f t="shared" si="248"/>
        <v>1.0899661941546628</v>
      </c>
      <c r="N592" s="340">
        <f t="shared" si="249"/>
        <v>0.40914915076122782</v>
      </c>
      <c r="O592" s="341">
        <f t="shared" si="250"/>
        <v>0.99534430910528815</v>
      </c>
      <c r="P592" s="342">
        <f t="shared" si="251"/>
        <v>0.18086793967364867</v>
      </c>
      <c r="Q592" s="343">
        <f t="shared" si="252"/>
        <v>-8.0811076740879528</v>
      </c>
      <c r="R592" s="344">
        <f t="shared" si="253"/>
        <v>-110.94904436195787</v>
      </c>
      <c r="S592" s="346">
        <f t="shared" si="254"/>
        <v>69.050955638042126</v>
      </c>
      <c r="U592" s="319">
        <f t="shared" si="260"/>
        <v>144540</v>
      </c>
      <c r="V592" s="319">
        <f t="shared" si="261"/>
        <v>20891811600</v>
      </c>
      <c r="X592" s="345">
        <f t="shared" si="255"/>
        <v>38.335004330760462</v>
      </c>
      <c r="Y592" s="346">
        <f t="shared" si="256"/>
        <v>-25.98691287225709</v>
      </c>
      <c r="AA592" s="345">
        <f t="shared" si="257"/>
        <v>10.416638153246591</v>
      </c>
      <c r="AB592" s="346">
        <f t="shared" si="258"/>
        <v>-84.962131489700781</v>
      </c>
      <c r="AD592">
        <f t="shared" si="262"/>
        <v>0</v>
      </c>
      <c r="AE592">
        <f t="shared" si="239"/>
        <v>0</v>
      </c>
    </row>
    <row r="593" spans="1:31" x14ac:dyDescent="0.2">
      <c r="A593" s="347">
        <v>158490</v>
      </c>
      <c r="B593" s="364">
        <f t="shared" si="259"/>
        <v>158.49</v>
      </c>
      <c r="C593" s="337">
        <f t="shared" si="240"/>
        <v>391.61186412027507</v>
      </c>
      <c r="D593" s="338">
        <f t="shared" si="241"/>
        <v>1.5682427752343018</v>
      </c>
      <c r="E593" s="338">
        <f t="shared" si="242"/>
        <v>1.0436711828245018</v>
      </c>
      <c r="F593" s="339">
        <f t="shared" si="243"/>
        <v>0.29030650042493378</v>
      </c>
      <c r="G593" s="338">
        <f t="shared" si="244"/>
        <v>1</v>
      </c>
      <c r="H593" s="339">
        <f t="shared" si="245"/>
        <v>0</v>
      </c>
      <c r="I593" s="337">
        <f t="shared" si="246"/>
        <v>21056.408065911761</v>
      </c>
      <c r="J593" s="340">
        <f t="shared" si="247"/>
        <v>1.5707488353140493</v>
      </c>
      <c r="K593" s="348">
        <f t="shared" si="237"/>
        <v>24.66687388073359</v>
      </c>
      <c r="L593" s="349">
        <f t="shared" si="238"/>
        <v>1.5302450139050783</v>
      </c>
      <c r="M593" s="337">
        <f t="shared" si="248"/>
        <v>1.107281229363164</v>
      </c>
      <c r="N593" s="340">
        <f t="shared" si="249"/>
        <v>0.44383174437987494</v>
      </c>
      <c r="O593" s="341">
        <f t="shared" si="250"/>
        <v>0.99445301094879179</v>
      </c>
      <c r="P593" s="342">
        <f t="shared" si="251"/>
        <v>0.19872675947917254</v>
      </c>
      <c r="Q593" s="343">
        <f t="shared" si="252"/>
        <v>-8.9516371746637233</v>
      </c>
      <c r="R593" s="344">
        <f t="shared" si="253"/>
        <v>-112.35694354388357</v>
      </c>
      <c r="S593" s="346">
        <f t="shared" si="254"/>
        <v>67.643056456116426</v>
      </c>
      <c r="U593" s="319">
        <f t="shared" si="260"/>
        <v>158490</v>
      </c>
      <c r="V593" s="319">
        <f t="shared" si="261"/>
        <v>25119080100</v>
      </c>
      <c r="X593" s="345">
        <f t="shared" si="255"/>
        <v>38.196662140817864</v>
      </c>
      <c r="Y593" s="346">
        <f t="shared" si="256"/>
        <v>-27.750383819491145</v>
      </c>
      <c r="AA593" s="345">
        <f t="shared" si="257"/>
        <v>9.6844508426134208</v>
      </c>
      <c r="AB593" s="346">
        <f t="shared" si="258"/>
        <v>-84.60655972439244</v>
      </c>
      <c r="AD593">
        <f t="shared" si="262"/>
        <v>0</v>
      </c>
      <c r="AE593">
        <f t="shared" si="239"/>
        <v>0</v>
      </c>
    </row>
    <row r="594" spans="1:31" x14ac:dyDescent="0.2">
      <c r="A594" s="347">
        <v>173780</v>
      </c>
      <c r="B594" s="364">
        <f t="shared" si="259"/>
        <v>173.78</v>
      </c>
      <c r="C594" s="337">
        <f t="shared" si="240"/>
        <v>429.39158571947223</v>
      </c>
      <c r="D594" s="338">
        <f t="shared" si="241"/>
        <v>1.5684674481274887</v>
      </c>
      <c r="E594" s="338">
        <f t="shared" si="242"/>
        <v>1.0522834794194795</v>
      </c>
      <c r="F594" s="339">
        <f t="shared" si="243"/>
        <v>0.31655243400166277</v>
      </c>
      <c r="G594" s="338">
        <f t="shared" si="244"/>
        <v>1</v>
      </c>
      <c r="H594" s="339">
        <f t="shared" si="245"/>
        <v>0</v>
      </c>
      <c r="I594" s="337">
        <f t="shared" si="246"/>
        <v>23087.782150293053</v>
      </c>
      <c r="J594" s="340">
        <f t="shared" si="247"/>
        <v>1.5707530138428858</v>
      </c>
      <c r="K594" s="348">
        <f t="shared" si="237"/>
        <v>27.042821070645498</v>
      </c>
      <c r="L594" s="349">
        <f t="shared" si="238"/>
        <v>1.5338095036389978</v>
      </c>
      <c r="M594" s="337">
        <f t="shared" si="248"/>
        <v>1.1277390636135647</v>
      </c>
      <c r="N594" s="340">
        <f t="shared" si="249"/>
        <v>0.48057349927531101</v>
      </c>
      <c r="O594" s="341">
        <f t="shared" si="250"/>
        <v>0.99340457515932168</v>
      </c>
      <c r="P594" s="342">
        <f t="shared" si="251"/>
        <v>0.21842835218723977</v>
      </c>
      <c r="Q594" s="343">
        <f t="shared" si="252"/>
        <v>-9.8312621851482511</v>
      </c>
      <c r="R594" s="344">
        <f t="shared" si="253"/>
        <v>-113.89600992433174</v>
      </c>
      <c r="S594" s="346">
        <f t="shared" si="254"/>
        <v>66.103990075668264</v>
      </c>
      <c r="U594" s="319">
        <f t="shared" si="260"/>
        <v>173780</v>
      </c>
      <c r="V594" s="319">
        <f t="shared" si="261"/>
        <v>30199488400</v>
      </c>
      <c r="X594" s="345">
        <f t="shared" si="255"/>
        <v>38.036447492447259</v>
      </c>
      <c r="Y594" s="346">
        <f t="shared" si="256"/>
        <v>-29.651540503271743</v>
      </c>
      <c r="AA594" s="345">
        <f t="shared" si="257"/>
        <v>8.9650404804994963</v>
      </c>
      <c r="AB594" s="346">
        <f t="shared" si="258"/>
        <v>-84.244469421059989</v>
      </c>
      <c r="AD594">
        <f t="shared" si="262"/>
        <v>0</v>
      </c>
      <c r="AE594">
        <f t="shared" si="239"/>
        <v>0</v>
      </c>
    </row>
    <row r="595" spans="1:31" x14ac:dyDescent="0.2">
      <c r="A595" s="347">
        <v>190550</v>
      </c>
      <c r="B595" s="364">
        <f t="shared" si="259"/>
        <v>190.55</v>
      </c>
      <c r="C595" s="337">
        <f t="shared" si="240"/>
        <v>470.82822719629633</v>
      </c>
      <c r="D595" s="338">
        <f t="shared" si="241"/>
        <v>1.5686724083590937</v>
      </c>
      <c r="E595" s="338">
        <f t="shared" si="242"/>
        <v>1.0625483717632744</v>
      </c>
      <c r="F595" s="339">
        <f t="shared" si="243"/>
        <v>0.34482795361242957</v>
      </c>
      <c r="G595" s="338">
        <f t="shared" si="244"/>
        <v>1</v>
      </c>
      <c r="H595" s="339">
        <f t="shared" si="245"/>
        <v>0</v>
      </c>
      <c r="I595" s="337">
        <f t="shared" si="246"/>
        <v>25315.783680768476</v>
      </c>
      <c r="J595" s="340">
        <f t="shared" si="247"/>
        <v>1.5707568257463465</v>
      </c>
      <c r="K595" s="348">
        <f t="shared" si="237"/>
        <v>29.649077462962474</v>
      </c>
      <c r="L595" s="349">
        <f t="shared" si="238"/>
        <v>1.5370620666597645</v>
      </c>
      <c r="M595" s="337">
        <f t="shared" si="248"/>
        <v>1.1518609822804138</v>
      </c>
      <c r="N595" s="340">
        <f t="shared" si="249"/>
        <v>0.51931302140152114</v>
      </c>
      <c r="O595" s="341">
        <f t="shared" si="250"/>
        <v>0.99217669036591716</v>
      </c>
      <c r="P595" s="342">
        <f t="shared" si="251"/>
        <v>0.24020428634676955</v>
      </c>
      <c r="Q595" s="343">
        <f t="shared" si="252"/>
        <v>-10.721207810517461</v>
      </c>
      <c r="R595" s="344">
        <f t="shared" si="253"/>
        <v>-115.56882585801716</v>
      </c>
      <c r="S595" s="346">
        <f t="shared" si="254"/>
        <v>64.431174141982837</v>
      </c>
      <c r="U595" s="319">
        <f t="shared" si="260"/>
        <v>190550</v>
      </c>
      <c r="V595" s="319">
        <f t="shared" si="261"/>
        <v>36309302500</v>
      </c>
      <c r="X595" s="345">
        <f t="shared" si="255"/>
        <v>37.851619226907111</v>
      </c>
      <c r="Y595" s="346">
        <f t="shared" si="256"/>
        <v>-31.685011896070783</v>
      </c>
      <c r="AA595" s="345">
        <f t="shared" si="257"/>
        <v>8.2599231206704378</v>
      </c>
      <c r="AB595" s="346">
        <f t="shared" si="258"/>
        <v>-83.883813961946359</v>
      </c>
      <c r="AD595">
        <f t="shared" si="262"/>
        <v>0</v>
      </c>
      <c r="AE595">
        <f t="shared" si="239"/>
        <v>0</v>
      </c>
    </row>
    <row r="596" spans="1:31" x14ac:dyDescent="0.2">
      <c r="A596" s="347">
        <v>208930</v>
      </c>
      <c r="B596" s="364">
        <f t="shared" si="259"/>
        <v>208.93</v>
      </c>
      <c r="C596" s="337">
        <f t="shared" si="240"/>
        <v>516.24300282147487</v>
      </c>
      <c r="D596" s="338">
        <f t="shared" si="241"/>
        <v>1.5688592533238559</v>
      </c>
      <c r="E596" s="338">
        <f t="shared" si="242"/>
        <v>1.0747544663477553</v>
      </c>
      <c r="F596" s="339">
        <f t="shared" si="243"/>
        <v>0.37517072914413724</v>
      </c>
      <c r="G596" s="338">
        <f t="shared" si="244"/>
        <v>1</v>
      </c>
      <c r="H596" s="339">
        <f t="shared" si="245"/>
        <v>0</v>
      </c>
      <c r="I596" s="337">
        <f t="shared" si="246"/>
        <v>27757.68398703156</v>
      </c>
      <c r="J596" s="340">
        <f t="shared" si="247"/>
        <v>1.5707603007344846</v>
      </c>
      <c r="K596" s="348">
        <f t="shared" si="237"/>
        <v>32.505846631376798</v>
      </c>
      <c r="L596" s="349">
        <f t="shared" si="238"/>
        <v>1.5400277757484844</v>
      </c>
      <c r="M596" s="337">
        <f t="shared" si="248"/>
        <v>1.1801973157485151</v>
      </c>
      <c r="N596" s="340">
        <f t="shared" si="249"/>
        <v>0.559885470940091</v>
      </c>
      <c r="O596" s="341">
        <f t="shared" si="250"/>
        <v>0.99074892041929474</v>
      </c>
      <c r="P596" s="342">
        <f t="shared" si="251"/>
        <v>0.26429035751180191</v>
      </c>
      <c r="Q596" s="343">
        <f t="shared" si="252"/>
        <v>-11.621244510474863</v>
      </c>
      <c r="R596" s="344">
        <f t="shared" si="253"/>
        <v>-117.37595514528913</v>
      </c>
      <c r="S596" s="346">
        <f t="shared" si="254"/>
        <v>62.624044854710874</v>
      </c>
      <c r="U596" s="319">
        <f t="shared" si="260"/>
        <v>208930</v>
      </c>
      <c r="V596" s="319">
        <f t="shared" si="261"/>
        <v>43651744900</v>
      </c>
      <c r="X596" s="345">
        <f t="shared" si="255"/>
        <v>37.639697045850411</v>
      </c>
      <c r="Y596" s="346">
        <f t="shared" si="256"/>
        <v>-33.839918509707623</v>
      </c>
      <c r="AA596" s="345">
        <f t="shared" si="257"/>
        <v>7.5718086017697317</v>
      </c>
      <c r="AB596" s="346">
        <f t="shared" si="258"/>
        <v>-83.536036635581524</v>
      </c>
      <c r="AD596">
        <f t="shared" si="262"/>
        <v>0</v>
      </c>
      <c r="AE596">
        <f t="shared" si="239"/>
        <v>0</v>
      </c>
    </row>
    <row r="597" spans="1:31" x14ac:dyDescent="0.2">
      <c r="A597" s="347">
        <v>229090</v>
      </c>
      <c r="B597" s="364">
        <f t="shared" si="259"/>
        <v>229.09</v>
      </c>
      <c r="C597" s="337">
        <f t="shared" si="240"/>
        <v>566.05596220387895</v>
      </c>
      <c r="D597" s="338">
        <f t="shared" si="241"/>
        <v>1.5690297160939706</v>
      </c>
      <c r="E597" s="338">
        <f t="shared" si="242"/>
        <v>1.0892531286025087</v>
      </c>
      <c r="F597" s="339">
        <f t="shared" si="243"/>
        <v>0.40763681051946671</v>
      </c>
      <c r="G597" s="338">
        <f t="shared" si="244"/>
        <v>1</v>
      </c>
      <c r="H597" s="339">
        <f t="shared" si="245"/>
        <v>0</v>
      </c>
      <c r="I597" s="337">
        <f t="shared" si="246"/>
        <v>30436.068654069451</v>
      </c>
      <c r="J597" s="340">
        <f t="shared" si="247"/>
        <v>1.5707634710403791</v>
      </c>
      <c r="K597" s="348">
        <f t="shared" si="237"/>
        <v>35.639551399000069</v>
      </c>
      <c r="L597" s="349">
        <f t="shared" si="238"/>
        <v>1.542733929191856</v>
      </c>
      <c r="M597" s="337">
        <f t="shared" si="248"/>
        <v>1.2134002031069551</v>
      </c>
      <c r="N597" s="340">
        <f t="shared" si="249"/>
        <v>0.60213114899336884</v>
      </c>
      <c r="O597" s="341">
        <f t="shared" si="250"/>
        <v>0.98910126124540876</v>
      </c>
      <c r="P597" s="342">
        <f t="shared" si="251"/>
        <v>0.29099698497672616</v>
      </c>
      <c r="Q597" s="343">
        <f t="shared" si="252"/>
        <v>-12.532180572211551</v>
      </c>
      <c r="R597" s="344">
        <f t="shared" si="253"/>
        <v>-119.32135907268626</v>
      </c>
      <c r="S597" s="346">
        <f t="shared" si="254"/>
        <v>60.678640927313737</v>
      </c>
      <c r="U597" s="319">
        <f t="shared" si="260"/>
        <v>229090</v>
      </c>
      <c r="V597" s="319">
        <f t="shared" si="261"/>
        <v>52482228100</v>
      </c>
      <c r="X597" s="345">
        <f t="shared" si="255"/>
        <v>37.398016610614889</v>
      </c>
      <c r="Y597" s="346">
        <f t="shared" si="256"/>
        <v>-36.105548041545262</v>
      </c>
      <c r="AA597" s="345">
        <f t="shared" si="257"/>
        <v>6.902552975268569</v>
      </c>
      <c r="AB597" s="346">
        <f t="shared" si="258"/>
        <v>-83.215811031140959</v>
      </c>
      <c r="AD597">
        <f t="shared" si="262"/>
        <v>0</v>
      </c>
      <c r="AE597">
        <f t="shared" si="239"/>
        <v>0</v>
      </c>
    </row>
    <row r="598" spans="1:31" x14ac:dyDescent="0.2">
      <c r="A598" s="347">
        <v>251190</v>
      </c>
      <c r="B598" s="364">
        <f t="shared" si="259"/>
        <v>251.19</v>
      </c>
      <c r="C598" s="337">
        <f t="shared" si="240"/>
        <v>620.66244629357823</v>
      </c>
      <c r="D598" s="338">
        <f t="shared" si="241"/>
        <v>1.5691851443580933</v>
      </c>
      <c r="E598" s="338">
        <f t="shared" si="242"/>
        <v>1.1064290303764319</v>
      </c>
      <c r="F598" s="339">
        <f t="shared" si="243"/>
        <v>0.44220905184243137</v>
      </c>
      <c r="G598" s="338">
        <f t="shared" si="244"/>
        <v>1</v>
      </c>
      <c r="H598" s="339">
        <f t="shared" si="245"/>
        <v>0</v>
      </c>
      <c r="I598" s="337">
        <f t="shared" si="246"/>
        <v>33372.194703049179</v>
      </c>
      <c r="J598" s="340">
        <f t="shared" si="247"/>
        <v>1.5707663617293968</v>
      </c>
      <c r="K598" s="348">
        <f t="shared" si="237"/>
        <v>39.075062539445113</v>
      </c>
      <c r="L598" s="349">
        <f t="shared" si="238"/>
        <v>1.5452017628036159</v>
      </c>
      <c r="M598" s="337">
        <f t="shared" si="248"/>
        <v>1.252145257108775</v>
      </c>
      <c r="N598" s="340">
        <f t="shared" si="249"/>
        <v>0.64578199630226329</v>
      </c>
      <c r="O598" s="341">
        <f t="shared" si="250"/>
        <v>0.98722168112646536</v>
      </c>
      <c r="P598" s="342">
        <f t="shared" si="251"/>
        <v>0.32065047523087681</v>
      </c>
      <c r="Q598" s="343">
        <f t="shared" si="252"/>
        <v>-13.453274427312143</v>
      </c>
      <c r="R598" s="344">
        <f t="shared" si="253"/>
        <v>-121.4082192786595</v>
      </c>
      <c r="S598" s="346">
        <f t="shared" si="254"/>
        <v>58.591780721340498</v>
      </c>
      <c r="U598" s="319">
        <f t="shared" si="260"/>
        <v>251190</v>
      </c>
      <c r="V598" s="319">
        <f t="shared" si="261"/>
        <v>63096416100</v>
      </c>
      <c r="X598" s="345">
        <f t="shared" si="255"/>
        <v>37.124428405383348</v>
      </c>
      <c r="Y598" s="346">
        <f t="shared" si="256"/>
        <v>-38.465326540997573</v>
      </c>
      <c r="AA598" s="345">
        <f t="shared" si="257"/>
        <v>6.2550473253995174</v>
      </c>
      <c r="AB598" s="346">
        <f t="shared" si="258"/>
        <v>-82.942892737661879</v>
      </c>
      <c r="AD598">
        <f t="shared" si="262"/>
        <v>0</v>
      </c>
      <c r="AE598">
        <f t="shared" si="239"/>
        <v>0</v>
      </c>
    </row>
    <row r="599" spans="1:31" x14ac:dyDescent="0.2">
      <c r="A599" s="347">
        <v>275420</v>
      </c>
      <c r="B599" s="364">
        <f t="shared" si="259"/>
        <v>275.42</v>
      </c>
      <c r="C599" s="337">
        <f t="shared" si="240"/>
        <v>680.5319225942892</v>
      </c>
      <c r="D599" s="338">
        <f t="shared" si="241"/>
        <v>1.5693268874832722</v>
      </c>
      <c r="E599" s="338">
        <f t="shared" si="242"/>
        <v>1.1267303857911457</v>
      </c>
      <c r="F599" s="339">
        <f t="shared" si="243"/>
        <v>0.47885349853314385</v>
      </c>
      <c r="G599" s="338">
        <f t="shared" si="244"/>
        <v>1</v>
      </c>
      <c r="H599" s="339">
        <f t="shared" si="245"/>
        <v>0</v>
      </c>
      <c r="I599" s="337">
        <f t="shared" si="246"/>
        <v>36591.304846608895</v>
      </c>
      <c r="J599" s="340">
        <f t="shared" si="247"/>
        <v>1.5707689978979273</v>
      </c>
      <c r="K599" s="348">
        <f t="shared" ref="K599:K613" si="263">SQRT(1+(A599/Zero2)^2)</f>
        <v>42.841916062620186</v>
      </c>
      <c r="L599" s="349">
        <f t="shared" ref="L599:L613" si="264">ATAN(A599/Zero2)</f>
        <v>1.5474525803092691</v>
      </c>
      <c r="M599" s="337">
        <f t="shared" si="248"/>
        <v>1.2971914228825288</v>
      </c>
      <c r="N599" s="340">
        <f t="shared" si="249"/>
        <v>0.69054930224853872</v>
      </c>
      <c r="O599" s="341">
        <f t="shared" si="250"/>
        <v>0.98510880028866965</v>
      </c>
      <c r="P599" s="342">
        <f t="shared" si="251"/>
        <v>0.35365410820203952</v>
      </c>
      <c r="Q599" s="343">
        <f t="shared" si="252"/>
        <v>-14.384062074425458</v>
      </c>
      <c r="R599" s="344">
        <f t="shared" si="253"/>
        <v>-123.64390369263363</v>
      </c>
      <c r="S599" s="346">
        <f t="shared" si="254"/>
        <v>56.356096307366371</v>
      </c>
      <c r="U599" s="319">
        <f t="shared" si="260"/>
        <v>275420</v>
      </c>
      <c r="V599" s="319">
        <f t="shared" si="261"/>
        <v>75856176400</v>
      </c>
      <c r="X599" s="345">
        <f t="shared" si="255"/>
        <v>36.816962817638419</v>
      </c>
      <c r="Y599" s="346">
        <f t="shared" si="256"/>
        <v>-40.9014929324766</v>
      </c>
      <c r="AA599" s="345">
        <f t="shared" si="257"/>
        <v>5.631725266031129</v>
      </c>
      <c r="AB599" s="346">
        <f t="shared" si="258"/>
        <v>-82.742410760157014</v>
      </c>
      <c r="AD599">
        <f t="shared" si="262"/>
        <v>0</v>
      </c>
      <c r="AE599">
        <f t="shared" si="239"/>
        <v>0</v>
      </c>
    </row>
    <row r="600" spans="1:31" x14ac:dyDescent="0.2">
      <c r="A600" s="347">
        <v>302000</v>
      </c>
      <c r="B600" s="364">
        <f t="shared" si="259"/>
        <v>302</v>
      </c>
      <c r="C600" s="337">
        <f t="shared" si="240"/>
        <v>746.20798520291112</v>
      </c>
      <c r="D600" s="338">
        <f t="shared" si="241"/>
        <v>1.5694562174431539</v>
      </c>
      <c r="E600" s="338">
        <f t="shared" si="242"/>
        <v>1.1506750467383631</v>
      </c>
      <c r="F600" s="339">
        <f t="shared" si="243"/>
        <v>0.51750724112599145</v>
      </c>
      <c r="G600" s="338">
        <f t="shared" si="244"/>
        <v>1</v>
      </c>
      <c r="H600" s="339">
        <f t="shared" si="245"/>
        <v>0</v>
      </c>
      <c r="I600" s="337">
        <f t="shared" si="246"/>
        <v>40122.627488858656</v>
      </c>
      <c r="J600" s="340">
        <f t="shared" si="247"/>
        <v>1.5707714032028317</v>
      </c>
      <c r="K600" s="348">
        <f t="shared" si="263"/>
        <v>46.974313846100905</v>
      </c>
      <c r="L600" s="349">
        <f t="shared" si="264"/>
        <v>1.5495064884772864</v>
      </c>
      <c r="M600" s="337">
        <f t="shared" si="248"/>
        <v>1.3493835629649562</v>
      </c>
      <c r="N600" s="340">
        <f t="shared" si="249"/>
        <v>0.7361201464892404</v>
      </c>
      <c r="O600" s="341">
        <f t="shared" si="250"/>
        <v>0.98278084316266046</v>
      </c>
      <c r="P600" s="342">
        <f t="shared" si="251"/>
        <v>0.39049992283989277</v>
      </c>
      <c r="Q600" s="343">
        <f t="shared" si="252"/>
        <v>-15.324110919058679</v>
      </c>
      <c r="R600" s="344">
        <f t="shared" si="253"/>
        <v>-126.04120170287874</v>
      </c>
      <c r="S600" s="346">
        <f t="shared" si="254"/>
        <v>53.958798297121263</v>
      </c>
      <c r="U600" s="319">
        <f t="shared" si="260"/>
        <v>302000</v>
      </c>
      <c r="V600" s="319">
        <f t="shared" si="261"/>
        <v>91204000000</v>
      </c>
      <c r="X600" s="345">
        <f t="shared" si="255"/>
        <v>36.473937675478545</v>
      </c>
      <c r="Y600" s="346">
        <f t="shared" si="256"/>
        <v>-43.394967523450696</v>
      </c>
      <c r="AA600" s="345">
        <f t="shared" si="257"/>
        <v>5.0347015635577801</v>
      </c>
      <c r="AB600" s="346">
        <f t="shared" si="258"/>
        <v>-82.646234179428035</v>
      </c>
      <c r="AD600">
        <f t="shared" si="262"/>
        <v>0</v>
      </c>
      <c r="AE600">
        <f t="shared" si="239"/>
        <v>0</v>
      </c>
    </row>
    <row r="601" spans="1:31" x14ac:dyDescent="0.2">
      <c r="A601" s="347">
        <v>331130</v>
      </c>
      <c r="B601" s="364">
        <f t="shared" si="259"/>
        <v>331.13</v>
      </c>
      <c r="C601" s="337">
        <f t="shared" si="240"/>
        <v>818.18481066209074</v>
      </c>
      <c r="D601" s="338">
        <f t="shared" si="241"/>
        <v>1.5695741087386115</v>
      </c>
      <c r="E601" s="338">
        <f t="shared" si="242"/>
        <v>1.1788054874726579</v>
      </c>
      <c r="F601" s="339">
        <f t="shared" si="243"/>
        <v>0.55799888848407098</v>
      </c>
      <c r="G601" s="338">
        <f t="shared" si="244"/>
        <v>1</v>
      </c>
      <c r="H601" s="339">
        <f t="shared" si="245"/>
        <v>0</v>
      </c>
      <c r="I601" s="337">
        <f t="shared" si="246"/>
        <v>43992.733906263828</v>
      </c>
      <c r="J601" s="340">
        <f t="shared" si="247"/>
        <v>1.5707735957683999</v>
      </c>
      <c r="K601" s="348">
        <f t="shared" si="263"/>
        <v>51.503349944139792</v>
      </c>
      <c r="L601" s="349">
        <f t="shared" si="264"/>
        <v>1.5513788938842399</v>
      </c>
      <c r="M601" s="337">
        <f t="shared" si="248"/>
        <v>1.4095473358848223</v>
      </c>
      <c r="N601" s="340">
        <f t="shared" si="249"/>
        <v>0.78208221630570041</v>
      </c>
      <c r="O601" s="341">
        <f t="shared" si="250"/>
        <v>0.98029400224249652</v>
      </c>
      <c r="P601" s="342">
        <f t="shared" si="251"/>
        <v>0.43171157359319118</v>
      </c>
      <c r="Q601" s="343">
        <f t="shared" si="252"/>
        <v>-16.271361573668781</v>
      </c>
      <c r="R601" s="344">
        <f t="shared" si="253"/>
        <v>-128.61548685083872</v>
      </c>
      <c r="S601" s="346">
        <f t="shared" si="254"/>
        <v>51.384513149161279</v>
      </c>
      <c r="U601" s="319">
        <f t="shared" si="260"/>
        <v>331130</v>
      </c>
      <c r="V601" s="319">
        <f t="shared" si="261"/>
        <v>109647076900</v>
      </c>
      <c r="X601" s="345">
        <f t="shared" si="255"/>
        <v>36.094721620118932</v>
      </c>
      <c r="Y601" s="346">
        <f t="shared" si="256"/>
        <v>-45.921244841903629</v>
      </c>
      <c r="AA601" s="345">
        <f t="shared" si="257"/>
        <v>4.46666696430729</v>
      </c>
      <c r="AB601" s="346">
        <f t="shared" si="258"/>
        <v>-82.694242008935092</v>
      </c>
      <c r="AD601">
        <f t="shared" si="262"/>
        <v>0</v>
      </c>
      <c r="AE601">
        <f t="shared" si="239"/>
        <v>0</v>
      </c>
    </row>
    <row r="602" spans="1:31" x14ac:dyDescent="0.2">
      <c r="A602" s="347">
        <v>363080</v>
      </c>
      <c r="B602" s="364">
        <f t="shared" si="259"/>
        <v>363.08</v>
      </c>
      <c r="C602" s="337">
        <f t="shared" si="240"/>
        <v>897.12953741270849</v>
      </c>
      <c r="D602" s="338">
        <f t="shared" si="241"/>
        <v>1.5696816603332793</v>
      </c>
      <c r="E602" s="338">
        <f t="shared" si="242"/>
        <v>1.2117711120881764</v>
      </c>
      <c r="F602" s="339">
        <f t="shared" si="243"/>
        <v>0.60017222754963495</v>
      </c>
      <c r="G602" s="338">
        <f t="shared" si="244"/>
        <v>1</v>
      </c>
      <c r="H602" s="339">
        <f t="shared" si="245"/>
        <v>0</v>
      </c>
      <c r="I602" s="337">
        <f t="shared" si="246"/>
        <v>48237.495322054689</v>
      </c>
      <c r="J602" s="340">
        <f t="shared" si="247"/>
        <v>1.5707755960336207</v>
      </c>
      <c r="K602" s="348">
        <f t="shared" si="263"/>
        <v>56.471003034275945</v>
      </c>
      <c r="L602" s="349">
        <f t="shared" si="264"/>
        <v>1.5530871979136587</v>
      </c>
      <c r="M602" s="337">
        <f t="shared" si="248"/>
        <v>1.4786628343202515</v>
      </c>
      <c r="N602" s="340">
        <f t="shared" si="249"/>
        <v>0.82808631158407897</v>
      </c>
      <c r="O602" s="341">
        <f t="shared" si="250"/>
        <v>0.97775576498079486</v>
      </c>
      <c r="P602" s="342">
        <f t="shared" si="251"/>
        <v>0.47798391387806105</v>
      </c>
      <c r="Q602" s="343">
        <f t="shared" si="252"/>
        <v>-17.225413627321021</v>
      </c>
      <c r="R602" s="344">
        <f t="shared" si="253"/>
        <v>-131.39458107206684</v>
      </c>
      <c r="S602" s="346">
        <f t="shared" si="254"/>
        <v>48.605418927933158</v>
      </c>
      <c r="U602" s="319">
        <f t="shared" si="260"/>
        <v>363080</v>
      </c>
      <c r="V602" s="319">
        <f t="shared" si="261"/>
        <v>131827086400</v>
      </c>
      <c r="X602" s="345">
        <f t="shared" si="255"/>
        <v>35.678656302294733</v>
      </c>
      <c r="Y602" s="346">
        <f t="shared" si="256"/>
        <v>-48.459321340316791</v>
      </c>
      <c r="AA602" s="345">
        <f t="shared" si="257"/>
        <v>3.9286802284792497</v>
      </c>
      <c r="AB602" s="346">
        <f t="shared" si="258"/>
        <v>-82.935259731750051</v>
      </c>
      <c r="AD602">
        <f t="shared" si="262"/>
        <v>0</v>
      </c>
      <c r="AE602">
        <f t="shared" ref="AE602:AE613" si="265">IF(AD602&gt;0,S602,0)</f>
        <v>0</v>
      </c>
    </row>
    <row r="603" spans="1:31" x14ac:dyDescent="0.2">
      <c r="A603" s="347">
        <v>398110</v>
      </c>
      <c r="B603" s="364">
        <f t="shared" si="259"/>
        <v>398.11</v>
      </c>
      <c r="C603" s="337">
        <f t="shared" si="240"/>
        <v>983.68459515944221</v>
      </c>
      <c r="D603" s="338">
        <f t="shared" si="241"/>
        <v>1.5697797406074518</v>
      </c>
      <c r="E603" s="338">
        <f t="shared" si="242"/>
        <v>1.2502518470393091</v>
      </c>
      <c r="F603" s="339">
        <f t="shared" si="243"/>
        <v>0.64376964345112164</v>
      </c>
      <c r="G603" s="338">
        <f t="shared" si="244"/>
        <v>1</v>
      </c>
      <c r="H603" s="339">
        <f t="shared" si="245"/>
        <v>0</v>
      </c>
      <c r="I603" s="337">
        <f t="shared" si="246"/>
        <v>52891.454395639928</v>
      </c>
      <c r="J603" s="340">
        <f t="shared" si="247"/>
        <v>1.5707774201489841</v>
      </c>
      <c r="K603" s="348">
        <f t="shared" si="263"/>
        <v>61.917698531823667</v>
      </c>
      <c r="L603" s="349">
        <f t="shared" si="264"/>
        <v>1.5546451535153818</v>
      </c>
      <c r="M603" s="337">
        <f t="shared" si="248"/>
        <v>1.5576983497776453</v>
      </c>
      <c r="N603" s="340">
        <f t="shared" si="249"/>
        <v>0.87372778631325809</v>
      </c>
      <c r="O603" s="341">
        <f t="shared" si="250"/>
        <v>0.97536346740210378</v>
      </c>
      <c r="P603" s="342">
        <f t="shared" si="251"/>
        <v>0.53008531098485534</v>
      </c>
      <c r="Q603" s="343">
        <f t="shared" si="252"/>
        <v>-18.185124888761656</v>
      </c>
      <c r="R603" s="344">
        <f t="shared" si="253"/>
        <v>-134.41334699960166</v>
      </c>
      <c r="S603" s="346">
        <f t="shared" si="254"/>
        <v>45.586653000398343</v>
      </c>
      <c r="U603" s="319">
        <f t="shared" si="260"/>
        <v>398110</v>
      </c>
      <c r="V603" s="319">
        <f t="shared" si="261"/>
        <v>158491572100</v>
      </c>
      <c r="X603" s="345">
        <f t="shared" si="255"/>
        <v>35.226143125114866</v>
      </c>
      <c r="Y603" s="346">
        <f t="shared" si="256"/>
        <v>-50.985225449402193</v>
      </c>
      <c r="AA603" s="345">
        <f t="shared" si="257"/>
        <v>3.4214821442184822</v>
      </c>
      <c r="AB603" s="346">
        <f t="shared" si="258"/>
        <v>-83.428121550199506</v>
      </c>
      <c r="AD603">
        <f t="shared" si="262"/>
        <v>0</v>
      </c>
      <c r="AE603">
        <f t="shared" si="265"/>
        <v>0</v>
      </c>
    </row>
    <row r="604" spans="1:31" x14ac:dyDescent="0.2">
      <c r="A604" s="347">
        <v>436520</v>
      </c>
      <c r="B604" s="364">
        <f t="shared" si="259"/>
        <v>436.52</v>
      </c>
      <c r="C604" s="337">
        <f t="shared" si="240"/>
        <v>1078.5912490262292</v>
      </c>
      <c r="D604" s="338">
        <f t="shared" si="241"/>
        <v>1.5698691913817675</v>
      </c>
      <c r="E604" s="338">
        <f t="shared" si="242"/>
        <v>1.2950035104945479</v>
      </c>
      <c r="F604" s="339">
        <f t="shared" si="243"/>
        <v>0.68850200484834578</v>
      </c>
      <c r="G604" s="338">
        <f t="shared" si="244"/>
        <v>1</v>
      </c>
      <c r="H604" s="339">
        <f t="shared" si="245"/>
        <v>0</v>
      </c>
      <c r="I604" s="337">
        <f t="shared" si="246"/>
        <v>57994.468041723361</v>
      </c>
      <c r="J604" s="340">
        <f t="shared" si="247"/>
        <v>1.5707790837709701</v>
      </c>
      <c r="K604" s="348">
        <f t="shared" si="263"/>
        <v>67.890082412602709</v>
      </c>
      <c r="L604" s="349">
        <f t="shared" si="264"/>
        <v>1.5560661021636952</v>
      </c>
      <c r="M604" s="337">
        <f t="shared" si="248"/>
        <v>1.6477097419145155</v>
      </c>
      <c r="N604" s="340">
        <f t="shared" si="249"/>
        <v>0.91863824535429817</v>
      </c>
      <c r="O604" s="341">
        <f t="shared" si="250"/>
        <v>0.97344689347508395</v>
      </c>
      <c r="P604" s="342">
        <f t="shared" si="251"/>
        <v>0.58893992932103123</v>
      </c>
      <c r="Q604" s="343">
        <f t="shared" si="252"/>
        <v>-19.150729665739348</v>
      </c>
      <c r="R604" s="344">
        <f t="shared" si="253"/>
        <v>-137.71947859213526</v>
      </c>
      <c r="S604" s="346">
        <f t="shared" si="254"/>
        <v>42.28052140786474</v>
      </c>
      <c r="U604" s="319">
        <f t="shared" si="260"/>
        <v>436520</v>
      </c>
      <c r="V604" s="319">
        <f t="shared" si="261"/>
        <v>190549710400</v>
      </c>
      <c r="X604" s="345">
        <f t="shared" si="255"/>
        <v>34.738005545560419</v>
      </c>
      <c r="Y604" s="346">
        <f t="shared" si="256"/>
        <v>-53.477086169361627</v>
      </c>
      <c r="AA604" s="345">
        <f t="shared" si="257"/>
        <v>2.9440149467952375</v>
      </c>
      <c r="AB604" s="346">
        <f t="shared" si="258"/>
        <v>-84.242392422773676</v>
      </c>
      <c r="AD604">
        <f t="shared" si="262"/>
        <v>0</v>
      </c>
      <c r="AE604">
        <f t="shared" si="265"/>
        <v>0</v>
      </c>
    </row>
    <row r="605" spans="1:31" x14ac:dyDescent="0.2">
      <c r="A605" s="347">
        <v>478630</v>
      </c>
      <c r="B605" s="364">
        <f t="shared" si="259"/>
        <v>478.63</v>
      </c>
      <c r="C605" s="337">
        <f t="shared" si="240"/>
        <v>1182.640181886751</v>
      </c>
      <c r="D605" s="338">
        <f t="shared" si="241"/>
        <v>1.5699507609715131</v>
      </c>
      <c r="E605" s="338">
        <f t="shared" si="242"/>
        <v>1.3468326373319655</v>
      </c>
      <c r="F605" s="339">
        <f t="shared" si="243"/>
        <v>0.73402719960706797</v>
      </c>
      <c r="G605" s="338">
        <f t="shared" si="244"/>
        <v>1</v>
      </c>
      <c r="H605" s="339">
        <f t="shared" si="245"/>
        <v>0</v>
      </c>
      <c r="I605" s="337">
        <f t="shared" si="246"/>
        <v>63589.050302657124</v>
      </c>
      <c r="J605" s="340">
        <f t="shared" si="247"/>
        <v>1.570780600816992</v>
      </c>
      <c r="K605" s="348">
        <f t="shared" si="263"/>
        <v>74.437911568888552</v>
      </c>
      <c r="L605" s="349">
        <f t="shared" si="264"/>
        <v>1.5573619079596839</v>
      </c>
      <c r="M605" s="337">
        <f t="shared" si="248"/>
        <v>1.7497942999392815</v>
      </c>
      <c r="N605" s="340">
        <f t="shared" si="249"/>
        <v>0.96246888956575005</v>
      </c>
      <c r="O605" s="341">
        <f t="shared" si="250"/>
        <v>0.97253765954479388</v>
      </c>
      <c r="P605" s="342">
        <f t="shared" si="251"/>
        <v>0.65560009413650289</v>
      </c>
      <c r="Q605" s="343">
        <f t="shared" si="252"/>
        <v>-20.123958256958588</v>
      </c>
      <c r="R605" s="344">
        <f t="shared" si="253"/>
        <v>-141.37225041773669</v>
      </c>
      <c r="S605" s="346">
        <f t="shared" si="254"/>
        <v>38.627749582263306</v>
      </c>
      <c r="U605" s="319">
        <f t="shared" si="260"/>
        <v>478630</v>
      </c>
      <c r="V605" s="319">
        <f t="shared" si="261"/>
        <v>229086676900</v>
      </c>
      <c r="X605" s="345">
        <f t="shared" si="255"/>
        <v>34.215721275068965</v>
      </c>
      <c r="Y605" s="346">
        <f t="shared" si="256"/>
        <v>-55.914239815957821</v>
      </c>
      <c r="AA605" s="345">
        <f t="shared" si="257"/>
        <v>2.4930706260674511</v>
      </c>
      <c r="AB605" s="346">
        <f t="shared" si="258"/>
        <v>-85.458010601778881</v>
      </c>
      <c r="AD605">
        <f t="shared" si="262"/>
        <v>0</v>
      </c>
      <c r="AE605">
        <f t="shared" si="265"/>
        <v>0</v>
      </c>
    </row>
    <row r="606" spans="1:31" x14ac:dyDescent="0.2">
      <c r="A606" s="347">
        <v>524810</v>
      </c>
      <c r="B606" s="364">
        <f t="shared" si="259"/>
        <v>524.80999999999995</v>
      </c>
      <c r="C606" s="337">
        <f t="shared" si="240"/>
        <v>1296.7456208882841</v>
      </c>
      <c r="D606" s="338">
        <f t="shared" si="241"/>
        <v>1.5700251654483637</v>
      </c>
      <c r="E606" s="338">
        <f t="shared" si="242"/>
        <v>1.406628162571385</v>
      </c>
      <c r="F606" s="339">
        <f t="shared" si="243"/>
        <v>0.77999090594284992</v>
      </c>
      <c r="G606" s="338">
        <f t="shared" si="244"/>
        <v>1</v>
      </c>
      <c r="H606" s="339">
        <f t="shared" si="245"/>
        <v>0</v>
      </c>
      <c r="I606" s="337">
        <f t="shared" si="246"/>
        <v>69724.358039912273</v>
      </c>
      <c r="J606" s="340">
        <f t="shared" si="247"/>
        <v>1.5707819846047619</v>
      </c>
      <c r="K606" s="348">
        <f t="shared" si="263"/>
        <v>81.61871858861933</v>
      </c>
      <c r="L606" s="349">
        <f t="shared" si="264"/>
        <v>1.5585439288408454</v>
      </c>
      <c r="M606" s="337">
        <f t="shared" si="248"/>
        <v>1.8651621443992474</v>
      </c>
      <c r="N606" s="340">
        <f t="shared" si="249"/>
        <v>1.0049310521982096</v>
      </c>
      <c r="O606" s="341">
        <f t="shared" si="250"/>
        <v>0.97346545042962473</v>
      </c>
      <c r="P606" s="342">
        <f t="shared" si="251"/>
        <v>0.73127313010630024</v>
      </c>
      <c r="Q606" s="343">
        <f t="shared" si="252"/>
        <v>-21.109693983347885</v>
      </c>
      <c r="R606" s="344">
        <f t="shared" si="253"/>
        <v>-145.4439898703319</v>
      </c>
      <c r="S606" s="346">
        <f t="shared" si="254"/>
        <v>34.556010129668095</v>
      </c>
      <c r="U606" s="319">
        <f t="shared" si="260"/>
        <v>524810</v>
      </c>
      <c r="V606" s="319">
        <f t="shared" si="261"/>
        <v>275425536100</v>
      </c>
      <c r="X606" s="345">
        <f t="shared" si="255"/>
        <v>33.660997507722435</v>
      </c>
      <c r="Y606" s="346">
        <f t="shared" si="256"/>
        <v>-58.279497003910649</v>
      </c>
      <c r="AA606" s="345">
        <f t="shared" si="257"/>
        <v>2.0620586670246874</v>
      </c>
      <c r="AB606" s="346">
        <f t="shared" si="258"/>
        <v>-87.16449286642127</v>
      </c>
      <c r="AD606">
        <f t="shared" si="262"/>
        <v>0</v>
      </c>
      <c r="AE606">
        <f t="shared" si="265"/>
        <v>0</v>
      </c>
    </row>
    <row r="607" spans="1:31" x14ac:dyDescent="0.2">
      <c r="A607" s="347">
        <v>575440</v>
      </c>
      <c r="B607" s="364">
        <f t="shared" si="259"/>
        <v>575.44000000000005</v>
      </c>
      <c r="C607" s="337">
        <f t="shared" si="240"/>
        <v>1421.8465020820749</v>
      </c>
      <c r="D607" s="338">
        <f t="shared" si="241"/>
        <v>1.5700930159375173</v>
      </c>
      <c r="E607" s="338">
        <f t="shared" si="242"/>
        <v>1.4753061364206932</v>
      </c>
      <c r="F607" s="339">
        <f t="shared" si="243"/>
        <v>0.82599545680874831</v>
      </c>
      <c r="G607" s="338">
        <f t="shared" si="244"/>
        <v>1</v>
      </c>
      <c r="H607" s="339">
        <f t="shared" si="245"/>
        <v>0</v>
      </c>
      <c r="I607" s="337">
        <f t="shared" si="246"/>
        <v>76450.876678784538</v>
      </c>
      <c r="J607" s="340">
        <f t="shared" si="247"/>
        <v>1.5707832465001574</v>
      </c>
      <c r="K607" s="348">
        <f t="shared" si="263"/>
        <v>89.491591980016565</v>
      </c>
      <c r="L607" s="349">
        <f t="shared" si="264"/>
        <v>1.5596218601256995</v>
      </c>
      <c r="M607" s="337">
        <f t="shared" si="248"/>
        <v>1.9950390328011127</v>
      </c>
      <c r="N607" s="340">
        <f t="shared" si="249"/>
        <v>1.0457612861799834</v>
      </c>
      <c r="O607" s="341">
        <f t="shared" si="250"/>
        <v>0.97749162612552409</v>
      </c>
      <c r="P607" s="342">
        <f t="shared" si="251"/>
        <v>0.81719329863568635</v>
      </c>
      <c r="Q607" s="343">
        <f t="shared" si="252"/>
        <v>-22.116251482381109</v>
      </c>
      <c r="R607" s="344">
        <f t="shared" si="253"/>
        <v>-150.01258532273474</v>
      </c>
      <c r="S607" s="346">
        <f t="shared" si="254"/>
        <v>29.987414677265264</v>
      </c>
      <c r="U607" s="319">
        <f t="shared" si="260"/>
        <v>575440</v>
      </c>
      <c r="V607" s="319">
        <f t="shared" si="261"/>
        <v>331131193600</v>
      </c>
      <c r="X607" s="345">
        <f t="shared" si="255"/>
        <v>33.076191738829223</v>
      </c>
      <c r="Y607" s="346">
        <f t="shared" si="256"/>
        <v>-60.557208478253685</v>
      </c>
      <c r="AA607" s="345">
        <f t="shared" si="257"/>
        <v>1.6403069368846745</v>
      </c>
      <c r="AB607" s="346">
        <f t="shared" si="258"/>
        <v>-89.455376844481052</v>
      </c>
      <c r="AD607">
        <f t="shared" si="262"/>
        <v>0</v>
      </c>
      <c r="AE607">
        <f t="shared" si="265"/>
        <v>0</v>
      </c>
    </row>
    <row r="608" spans="1:31" x14ac:dyDescent="0.2">
      <c r="A608" s="347">
        <v>630960</v>
      </c>
      <c r="B608" s="364">
        <f t="shared" si="259"/>
        <v>630.96</v>
      </c>
      <c r="C608" s="337">
        <f t="shared" si="240"/>
        <v>1559.0300146389804</v>
      </c>
      <c r="D608" s="338">
        <f t="shared" si="241"/>
        <v>1.5701549022814614</v>
      </c>
      <c r="E608" s="338">
        <f t="shared" si="242"/>
        <v>1.5538692367649785</v>
      </c>
      <c r="F608" s="339">
        <f t="shared" si="243"/>
        <v>0.87166271379644622</v>
      </c>
      <c r="G608" s="338">
        <f t="shared" si="244"/>
        <v>1</v>
      </c>
      <c r="H608" s="339">
        <f t="shared" si="245"/>
        <v>0</v>
      </c>
      <c r="I608" s="337">
        <f t="shared" si="246"/>
        <v>83827.063027512209</v>
      </c>
      <c r="J608" s="340">
        <f t="shared" si="247"/>
        <v>1.5707843974732205</v>
      </c>
      <c r="K608" s="348">
        <f t="shared" si="263"/>
        <v>98.124950949236919</v>
      </c>
      <c r="L608" s="349">
        <f t="shared" si="264"/>
        <v>1.5606050624849814</v>
      </c>
      <c r="M608" s="337">
        <f t="shared" si="248"/>
        <v>2.1407930059676481</v>
      </c>
      <c r="N608" s="340">
        <f t="shared" si="249"/>
        <v>1.0847693848833631</v>
      </c>
      <c r="O608" s="341">
        <f t="shared" si="250"/>
        <v>0.98648456710432531</v>
      </c>
      <c r="P608" s="342">
        <f t="shared" si="251"/>
        <v>0.9145644390730836</v>
      </c>
      <c r="Q608" s="343">
        <f t="shared" si="252"/>
        <v>-23.157742168624939</v>
      </c>
      <c r="R608" s="344">
        <f t="shared" si="253"/>
        <v>-155.15727748387303</v>
      </c>
      <c r="S608" s="346">
        <f t="shared" si="254"/>
        <v>24.842722516126969</v>
      </c>
      <c r="U608" s="319">
        <f t="shared" si="260"/>
        <v>630960</v>
      </c>
      <c r="V608" s="319">
        <f t="shared" si="261"/>
        <v>398110521600</v>
      </c>
      <c r="X608" s="345">
        <f t="shared" si="255"/>
        <v>32.463634900141884</v>
      </c>
      <c r="Y608" s="346">
        <f t="shared" si="256"/>
        <v>-62.735940503581304</v>
      </c>
      <c r="AA608" s="345">
        <f t="shared" si="257"/>
        <v>1.2113730893281862</v>
      </c>
      <c r="AB608" s="346">
        <f t="shared" si="258"/>
        <v>-92.421336980291741</v>
      </c>
      <c r="AD608">
        <f t="shared" si="262"/>
        <v>0</v>
      </c>
      <c r="AE608">
        <f t="shared" si="265"/>
        <v>0</v>
      </c>
    </row>
    <row r="609" spans="1:31" x14ac:dyDescent="0.2">
      <c r="A609" s="347">
        <v>691830</v>
      </c>
      <c r="B609" s="364">
        <f t="shared" si="259"/>
        <v>691.83</v>
      </c>
      <c r="C609" s="337">
        <f t="shared" si="240"/>
        <v>1709.4327654713145</v>
      </c>
      <c r="D609" s="338">
        <f t="shared" si="241"/>
        <v>1.5702113373895019</v>
      </c>
      <c r="E609" s="338">
        <f t="shared" si="242"/>
        <v>1.6433488681655068</v>
      </c>
      <c r="F609" s="339">
        <f t="shared" si="243"/>
        <v>0.91661030565468971</v>
      </c>
      <c r="G609" s="338">
        <f t="shared" si="244"/>
        <v>1</v>
      </c>
      <c r="H609" s="339">
        <f t="shared" si="245"/>
        <v>0</v>
      </c>
      <c r="I609" s="337">
        <f t="shared" si="246"/>
        <v>91914.031021981718</v>
      </c>
      <c r="J609" s="340">
        <f t="shared" si="247"/>
        <v>1.5707854470631637</v>
      </c>
      <c r="K609" s="348">
        <f t="shared" si="263"/>
        <v>107.59032548931354</v>
      </c>
      <c r="L609" s="349">
        <f t="shared" si="264"/>
        <v>1.5615016769830636</v>
      </c>
      <c r="M609" s="337">
        <f t="shared" si="248"/>
        <v>2.3038356582230426</v>
      </c>
      <c r="N609" s="340">
        <f t="shared" si="249"/>
        <v>1.1218031323035389</v>
      </c>
      <c r="O609" s="341">
        <f t="shared" si="250"/>
        <v>1.0031251497534777</v>
      </c>
      <c r="P609" s="342">
        <f t="shared" si="251"/>
        <v>1.0242415868009249</v>
      </c>
      <c r="Q609" s="343">
        <f t="shared" si="252"/>
        <v>-24.254295818175944</v>
      </c>
      <c r="R609" s="344">
        <f t="shared" si="253"/>
        <v>-160.93980668228505</v>
      </c>
      <c r="S609" s="346">
        <f t="shared" si="254"/>
        <v>19.060193317714948</v>
      </c>
      <c r="U609" s="319">
        <f t="shared" si="260"/>
        <v>691830</v>
      </c>
      <c r="V609" s="319">
        <f t="shared" si="261"/>
        <v>478628748900</v>
      </c>
      <c r="X609" s="345">
        <f t="shared" si="255"/>
        <v>31.82602264746134</v>
      </c>
      <c r="Y609" s="346">
        <f t="shared" si="256"/>
        <v>-64.80650584316048</v>
      </c>
      <c r="AA609" s="345">
        <f t="shared" si="257"/>
        <v>0.75243169245772434</v>
      </c>
      <c r="AB609" s="346">
        <f t="shared" si="258"/>
        <v>-96.133300839124587</v>
      </c>
      <c r="AD609">
        <f t="shared" si="262"/>
        <v>0</v>
      </c>
      <c r="AE609">
        <f t="shared" si="265"/>
        <v>0</v>
      </c>
    </row>
    <row r="610" spans="1:31" x14ac:dyDescent="0.2">
      <c r="A610" s="347">
        <v>758580</v>
      </c>
      <c r="B610" s="364">
        <f t="shared" si="259"/>
        <v>758.58</v>
      </c>
      <c r="C610" s="337">
        <f t="shared" si="240"/>
        <v>1874.3643234626609</v>
      </c>
      <c r="D610" s="338">
        <f t="shared" si="241"/>
        <v>1.5702628125602722</v>
      </c>
      <c r="E610" s="338">
        <f t="shared" si="242"/>
        <v>1.7448737206364022</v>
      </c>
      <c r="F610" s="339">
        <f t="shared" si="243"/>
        <v>0.96050359047574685</v>
      </c>
      <c r="G610" s="338">
        <f t="shared" si="244"/>
        <v>1</v>
      </c>
      <c r="H610" s="339">
        <f t="shared" si="245"/>
        <v>0</v>
      </c>
      <c r="I610" s="337">
        <f t="shared" si="246"/>
        <v>100782.19454484573</v>
      </c>
      <c r="J610" s="340">
        <f t="shared" si="247"/>
        <v>1.5707864044072712</v>
      </c>
      <c r="K610" s="348">
        <f t="shared" si="263"/>
        <v>117.97013138273687</v>
      </c>
      <c r="L610" s="349">
        <f t="shared" si="264"/>
        <v>1.5623195033441766</v>
      </c>
      <c r="M610" s="337">
        <f t="shared" si="248"/>
        <v>2.4857579422783704</v>
      </c>
      <c r="N610" s="340">
        <f t="shared" si="249"/>
        <v>1.1567775695905378</v>
      </c>
      <c r="O610" s="341">
        <f t="shared" si="250"/>
        <v>1.0311342402961967</v>
      </c>
      <c r="P610" s="342">
        <f t="shared" si="251"/>
        <v>1.1464367390029218</v>
      </c>
      <c r="Q610" s="343">
        <f t="shared" si="252"/>
        <v>-25.433062597405865</v>
      </c>
      <c r="R610" s="344">
        <f t="shared" si="253"/>
        <v>-167.38620702890751</v>
      </c>
      <c r="S610" s="346">
        <f t="shared" si="254"/>
        <v>12.613792971092494</v>
      </c>
      <c r="U610" s="319">
        <f t="shared" si="260"/>
        <v>758580</v>
      </c>
      <c r="V610" s="319">
        <f t="shared" si="261"/>
        <v>575443616400</v>
      </c>
      <c r="X610" s="345">
        <f t="shared" si="255"/>
        <v>31.165812729436926</v>
      </c>
      <c r="Y610" s="346">
        <f t="shared" si="256"/>
        <v>-66.763590345697367</v>
      </c>
      <c r="AA610" s="345">
        <f t="shared" si="257"/>
        <v>0.23387483125221489</v>
      </c>
      <c r="AB610" s="346">
        <f t="shared" si="258"/>
        <v>-100.62261668321017</v>
      </c>
      <c r="AD610">
        <f t="shared" si="262"/>
        <v>0</v>
      </c>
      <c r="AE610">
        <f t="shared" si="265"/>
        <v>0</v>
      </c>
    </row>
    <row r="611" spans="1:31" x14ac:dyDescent="0.2">
      <c r="A611" s="347">
        <v>831760</v>
      </c>
      <c r="B611" s="364">
        <f t="shared" si="259"/>
        <v>831.76</v>
      </c>
      <c r="C611" s="337">
        <f t="shared" si="240"/>
        <v>2055.1836752330091</v>
      </c>
      <c r="D611" s="338">
        <f t="shared" si="241"/>
        <v>1.5703097522607028</v>
      </c>
      <c r="E611" s="338">
        <f t="shared" si="242"/>
        <v>1.8595948438463517</v>
      </c>
      <c r="F611" s="339">
        <f t="shared" si="243"/>
        <v>1.0030283722599882</v>
      </c>
      <c r="G611" s="338">
        <f t="shared" si="244"/>
        <v>1</v>
      </c>
      <c r="H611" s="339">
        <f t="shared" si="245"/>
        <v>0</v>
      </c>
      <c r="I611" s="337">
        <f t="shared" si="246"/>
        <v>110504.62460640501</v>
      </c>
      <c r="J611" s="340">
        <f t="shared" si="247"/>
        <v>1.5707872773998728</v>
      </c>
      <c r="K611" s="348">
        <f t="shared" si="263"/>
        <v>129.34989511906437</v>
      </c>
      <c r="L611" s="349">
        <f t="shared" si="264"/>
        <v>1.5630652810088876</v>
      </c>
      <c r="M611" s="337">
        <f t="shared" si="248"/>
        <v>2.6882005651364631</v>
      </c>
      <c r="N611" s="340">
        <f t="shared" si="249"/>
        <v>1.1896378539500327</v>
      </c>
      <c r="O611" s="341">
        <f t="shared" si="250"/>
        <v>1.0754267592676068</v>
      </c>
      <c r="P611" s="342">
        <f t="shared" si="251"/>
        <v>1.2801610270915171</v>
      </c>
      <c r="Q611" s="343">
        <f t="shared" si="252"/>
        <v>-26.725330358008087</v>
      </c>
      <c r="R611" s="344">
        <f t="shared" si="253"/>
        <v>-174.45431900217389</v>
      </c>
      <c r="S611" s="346">
        <f t="shared" si="254"/>
        <v>5.5456809978261106</v>
      </c>
      <c r="U611" s="319">
        <f t="shared" si="260"/>
        <v>831760</v>
      </c>
      <c r="V611" s="319">
        <f t="shared" si="261"/>
        <v>691824697600</v>
      </c>
      <c r="X611" s="345">
        <f t="shared" si="255"/>
        <v>30.485703586170469</v>
      </c>
      <c r="Y611" s="346">
        <f t="shared" si="256"/>
        <v>-68.60366606134734</v>
      </c>
      <c r="AA611" s="345">
        <f t="shared" si="257"/>
        <v>-0.3782837860835494</v>
      </c>
      <c r="AB611" s="346">
        <f t="shared" si="258"/>
        <v>-105.85065294082656</v>
      </c>
      <c r="AD611">
        <f t="shared" si="262"/>
        <v>0</v>
      </c>
      <c r="AE611">
        <f t="shared" si="265"/>
        <v>0</v>
      </c>
    </row>
    <row r="612" spans="1:31" x14ac:dyDescent="0.2">
      <c r="A612" s="347">
        <v>912010</v>
      </c>
      <c r="B612" s="364">
        <f t="shared" si="259"/>
        <v>912.01</v>
      </c>
      <c r="C612" s="337">
        <f t="shared" si="240"/>
        <v>2253.4721870727121</v>
      </c>
      <c r="D612" s="338">
        <f t="shared" si="241"/>
        <v>1.5703525671432101</v>
      </c>
      <c r="E612" s="338">
        <f t="shared" si="242"/>
        <v>1.9887933851570609</v>
      </c>
      <c r="F612" s="339">
        <f t="shared" si="243"/>
        <v>1.0439411840644386</v>
      </c>
      <c r="G612" s="338">
        <f t="shared" si="244"/>
        <v>1</v>
      </c>
      <c r="H612" s="339">
        <f t="shared" si="245"/>
        <v>0</v>
      </c>
      <c r="I612" s="337">
        <f t="shared" si="246"/>
        <v>121166.3492913739</v>
      </c>
      <c r="J612" s="340">
        <f t="shared" si="247"/>
        <v>1.5707880736783684</v>
      </c>
      <c r="K612" s="348">
        <f t="shared" si="263"/>
        <v>141.82913909242262</v>
      </c>
      <c r="L612" s="349">
        <f t="shared" si="264"/>
        <v>1.5637455310834707</v>
      </c>
      <c r="M612" s="337">
        <f t="shared" si="248"/>
        <v>2.9130499756955759</v>
      </c>
      <c r="N612" s="340">
        <f t="shared" si="249"/>
        <v>1.220386438616377</v>
      </c>
      <c r="O612" s="341">
        <f t="shared" si="250"/>
        <v>1.1421916924081221</v>
      </c>
      <c r="P612" s="342">
        <f t="shared" si="251"/>
        <v>1.4229646530634572</v>
      </c>
      <c r="Q612" s="343">
        <f t="shared" si="252"/>
        <v>-28.16286708800137</v>
      </c>
      <c r="R612" s="344">
        <f t="shared" si="253"/>
        <v>-182.01752003832536</v>
      </c>
      <c r="S612" s="346">
        <f t="shared" si="254"/>
        <v>-2.0175200383253582</v>
      </c>
      <c r="U612" s="319">
        <f t="shared" si="260"/>
        <v>912010</v>
      </c>
      <c r="V612" s="319">
        <f t="shared" si="261"/>
        <v>831762240100</v>
      </c>
      <c r="X612" s="345">
        <f t="shared" si="255"/>
        <v>29.787934569579562</v>
      </c>
      <c r="Y612" s="346">
        <f t="shared" si="256"/>
        <v>-70.326500355808179</v>
      </c>
      <c r="AA612" s="345">
        <f t="shared" si="257"/>
        <v>-1.1180514994859285</v>
      </c>
      <c r="AB612" s="346">
        <f t="shared" si="258"/>
        <v>-111.69101968251712</v>
      </c>
      <c r="AD612">
        <f t="shared" si="262"/>
        <v>0</v>
      </c>
      <c r="AE612">
        <f t="shared" si="265"/>
        <v>0</v>
      </c>
    </row>
    <row r="613" spans="1:31" x14ac:dyDescent="0.2">
      <c r="A613" s="347">
        <v>1000000</v>
      </c>
      <c r="B613" s="364">
        <f t="shared" si="259"/>
        <v>1000</v>
      </c>
      <c r="C613" s="337">
        <f t="shared" si="240"/>
        <v>2470.8853518537603</v>
      </c>
      <c r="D613" s="338">
        <f t="shared" si="241"/>
        <v>1.5703916135504927</v>
      </c>
      <c r="E613" s="338">
        <f t="shared" si="242"/>
        <v>2.1337894873375509</v>
      </c>
      <c r="F613" s="339">
        <f t="shared" si="243"/>
        <v>1.0830346188631241</v>
      </c>
      <c r="G613" s="338">
        <f t="shared" si="244"/>
        <v>1</v>
      </c>
      <c r="H613" s="339">
        <f t="shared" si="245"/>
        <v>0</v>
      </c>
      <c r="I613" s="337">
        <f t="shared" si="246"/>
        <v>132856.3823759385</v>
      </c>
      <c r="J613" s="340">
        <f t="shared" si="247"/>
        <v>1.5707887998700916</v>
      </c>
      <c r="K613" s="348">
        <f t="shared" si="263"/>
        <v>155.51205139314123</v>
      </c>
      <c r="L613" s="349">
        <f t="shared" si="264"/>
        <v>1.5643659126708525</v>
      </c>
      <c r="M613" s="337">
        <f t="shared" si="248"/>
        <v>3.1622776601683786</v>
      </c>
      <c r="N613" s="340">
        <f t="shared" si="249"/>
        <v>1.2490457723982544</v>
      </c>
      <c r="O613" s="341">
        <f t="shared" si="250"/>
        <v>1.2387293568917073</v>
      </c>
      <c r="P613" s="342" t="e">
        <f t="shared" si="251"/>
        <v>#DIV/0!</v>
      </c>
      <c r="Q613" s="343">
        <f t="shared" si="252"/>
        <v>-29.769463128980487</v>
      </c>
      <c r="R613" s="344" t="e">
        <f t="shared" si="253"/>
        <v>#DIV/0!</v>
      </c>
      <c r="S613" s="346" t="e">
        <f t="shared" si="254"/>
        <v>#DIV/0!</v>
      </c>
      <c r="U613" s="319">
        <f t="shared" si="260"/>
        <v>1000000</v>
      </c>
      <c r="V613" s="319">
        <f t="shared" si="261"/>
        <v>1000000000000</v>
      </c>
      <c r="X613" s="345">
        <f t="shared" si="255"/>
        <v>29.074856954079134</v>
      </c>
      <c r="Y613" s="346">
        <f t="shared" si="256"/>
        <v>-71.933055588078474</v>
      </c>
      <c r="AA613" s="345">
        <f t="shared" si="257"/>
        <v>-2.0115699249646162</v>
      </c>
      <c r="AB613" s="346" t="e">
        <f t="shared" si="258"/>
        <v>#DIV/0!</v>
      </c>
      <c r="AD613">
        <f t="shared" si="262"/>
        <v>0</v>
      </c>
      <c r="AE613">
        <f t="shared" si="265"/>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59227</v>
      </c>
      <c r="B617" s="354"/>
      <c r="C617" s="355">
        <f t="shared" ref="C617:C626" si="266">SQRT(1+(A617/pole1)^2)</f>
        <v>146.34653133749731</v>
      </c>
      <c r="D617" s="348">
        <f t="shared" ref="D617:D626" si="267">ATAN(A617/pole1)</f>
        <v>1.5639631769218343</v>
      </c>
      <c r="E617" s="348">
        <f t="shared" ref="E617:E626" si="268">SQRT(1+(A617/Zero1)^2)</f>
        <v>1.0062124769196343</v>
      </c>
      <c r="F617" s="349">
        <f t="shared" ref="F617:F626" si="269">ATAN(A617/Zero1)</f>
        <v>0.11117989129566683</v>
      </c>
      <c r="G617" s="338">
        <f>IF(VIN_nom&gt;Vout, 1, SQRT(1+(A617/z_RHP)^2))</f>
        <v>1</v>
      </c>
      <c r="H617" s="339">
        <f>IF(VIN_nom&gt;Vout, 0, -ATAN(A617/z_RHP))</f>
        <v>0</v>
      </c>
      <c r="I617" s="355">
        <f t="shared" ref="I617:I626" si="270">SQRT(1+(A617/Pole2)^2)</f>
        <v>7868.6850222998291</v>
      </c>
      <c r="J617" s="356">
        <f t="shared" ref="J617:J626" si="271">ATAN(A617/Pole2)</f>
        <v>1.5706692407570315</v>
      </c>
      <c r="K617" s="348">
        <f t="shared" ref="K617:K626" si="272">SQRT(1+(A617/Zero2)^2)</f>
        <v>9.264449708369062</v>
      </c>
      <c r="L617" s="349">
        <f t="shared" ref="L617:L626" si="273">ATAN(A617/Zero2)</f>
        <v>1.4626461283621619</v>
      </c>
      <c r="M617" s="355">
        <f t="shared" ref="M617:M626" si="274">SQRT(1+(A617/pole4)^2)</f>
        <v>1.0156626102013404</v>
      </c>
      <c r="N617" s="356">
        <f t="shared" ref="N617:N626" si="275">ATAN(A617/pole4)</f>
        <v>0.1758458110590771</v>
      </c>
      <c r="O617" s="355">
        <f t="shared" ref="O617:O626" si="276">SQRT((1-(A617^2/(pole3^2)))^2+(A617/(Q*pole3))^2)</f>
        <v>0.99918928769001591</v>
      </c>
      <c r="P617" s="420">
        <f t="shared" ref="P617:P626" si="277">ATAN((A617/(Q*pole3))/(1-A617^2/pole3^2))</f>
        <v>7.3491888572362593E-2</v>
      </c>
      <c r="Q617" s="343">
        <f>20*LOG10(((E617*K617*G617)/(C617*I617*O617*M617))*Adc)</f>
        <v>3.3003343292944715E-2</v>
      </c>
      <c r="R617" s="344">
        <f>((F617+L617+H617)-(D617+J617+P617+N617))*radconv</f>
        <v>-103.71361722451373</v>
      </c>
      <c r="S617" s="346">
        <f t="shared" ref="S617:S626" si="278">IF(R617&gt;0,R617,R617+180)</f>
        <v>76.286382775486274</v>
      </c>
      <c r="T617" s="319" t="s">
        <v>363</v>
      </c>
      <c r="X617" s="345">
        <f t="shared" ref="X617:X626" si="279">20*LOG10((K617/(I617*M617))*AEA)</f>
        <v>38.990584440023859</v>
      </c>
      <c r="Y617" s="346">
        <f t="shared" ref="Y617:Y626" si="280">(L617-(J617+N617))*radconv</f>
        <v>-16.264491267418261</v>
      </c>
      <c r="AA617" s="345">
        <f>20*LOG10((E617*G617/(C617*O617))*Acs*Am)</f>
        <v>17.87516906136409</v>
      </c>
      <c r="AB617" s="346">
        <f>(F617+H617-(D617+P617))*radconv</f>
        <v>-87.449125957095475</v>
      </c>
    </row>
    <row r="618" spans="1:31" x14ac:dyDescent="0.2">
      <c r="A618" s="354">
        <f>A617</f>
        <v>59227</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59227</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-103.71361722451373</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404.71326650027254</v>
      </c>
      <c r="B622" s="354"/>
      <c r="C622" s="355">
        <f t="shared" si="266"/>
        <v>1.4142135623730951</v>
      </c>
      <c r="D622" s="348">
        <f t="shared" si="267"/>
        <v>0.78539816339744828</v>
      </c>
      <c r="E622" s="348">
        <f t="shared" si="268"/>
        <v>1.000000290982632</v>
      </c>
      <c r="F622" s="349">
        <f t="shared" si="269"/>
        <v>7.6286638604960392E-4</v>
      </c>
      <c r="G622" s="338">
        <f t="shared" ref="G622:G628" si="281">IF(VIN_nom&gt;Vout, 1, SQRT(1+(A622/z_RHP)^2))</f>
        <v>1</v>
      </c>
      <c r="H622" s="339">
        <f t="shared" ref="H622:H628" si="282">IF(VIN_nom&gt;Vout, 0, -ATAN(A622/z_RHP))</f>
        <v>0</v>
      </c>
      <c r="I622" s="355">
        <f t="shared" si="270"/>
        <v>53.778038764633251</v>
      </c>
      <c r="J622" s="356">
        <f t="shared" si="271"/>
        <v>1.5522003039453733</v>
      </c>
      <c r="K622" s="348">
        <f t="shared" si="272"/>
        <v>1.0019785435102653</v>
      </c>
      <c r="L622" s="349">
        <f t="shared" si="273"/>
        <v>6.2853588810736369E-2</v>
      </c>
      <c r="M622" s="337">
        <f t="shared" si="274"/>
        <v>1.0000007370674548</v>
      </c>
      <c r="N622" s="340">
        <f t="shared" si="275"/>
        <v>1.2141392028991709E-3</v>
      </c>
      <c r="O622" s="355">
        <f t="shared" si="276"/>
        <v>0.99999996187317153</v>
      </c>
      <c r="P622" s="342">
        <f t="shared" si="277"/>
        <v>5.0133024445161252E-4</v>
      </c>
      <c r="Q622" s="343">
        <f t="shared" ref="Q622:Q628" si="283">20*LOG10(((E622*K622*G622)/(C622*I622*O622*M622))*Adc)</f>
        <v>64.391219127867288</v>
      </c>
      <c r="R622" s="344">
        <f t="shared" ref="R622:R628" si="284">((F622+L622+H622)-(D622+J622+P622+N622))*radconv</f>
        <v>-130.38786129284122</v>
      </c>
      <c r="S622" s="346">
        <f t="shared" si="278"/>
        <v>49.612138707158778</v>
      </c>
      <c r="T622" s="319" t="s">
        <v>337</v>
      </c>
      <c r="X622" s="345">
        <f t="shared" si="279"/>
        <v>63.112287233315804</v>
      </c>
      <c r="Y622" s="346">
        <f t="shared" si="280"/>
        <v>-85.402846158542062</v>
      </c>
      <c r="AA622" s="345">
        <f t="shared" ref="AA622:AA628" si="285">20*LOG10((E622*G622/(C622*O622))*Acs*Am)</f>
        <v>58.111682052646501</v>
      </c>
      <c r="AB622" s="346">
        <f t="shared" ref="AB622:AB628" si="286">(F622+H622-(D622+P622))*radconv</f>
        <v>-44.985015134299168</v>
      </c>
    </row>
    <row r="623" spans="1:31" x14ac:dyDescent="0.2">
      <c r="A623" s="429">
        <f>Zero1</f>
        <v>530516.47757918795</v>
      </c>
      <c r="B623" s="354"/>
      <c r="C623" s="355">
        <f t="shared" si="266"/>
        <v>1310.8456674471572</v>
      </c>
      <c r="D623" s="348">
        <f t="shared" si="267"/>
        <v>1.5700334604088471</v>
      </c>
      <c r="E623" s="348">
        <f t="shared" si="268"/>
        <v>1.4142135623730951</v>
      </c>
      <c r="F623" s="349">
        <f t="shared" si="269"/>
        <v>0.78539816339744828</v>
      </c>
      <c r="G623" s="338">
        <f t="shared" si="281"/>
        <v>1</v>
      </c>
      <c r="H623" s="339">
        <f t="shared" si="282"/>
        <v>0</v>
      </c>
      <c r="I623" s="355">
        <f t="shared" si="270"/>
        <v>70482.500007093971</v>
      </c>
      <c r="J623" s="356">
        <f t="shared" si="271"/>
        <v>1.5707821388759107</v>
      </c>
      <c r="K623" s="348">
        <f t="shared" si="272"/>
        <v>82.506060383465183</v>
      </c>
      <c r="L623" s="349">
        <f t="shared" si="273"/>
        <v>1.5586757082528064</v>
      </c>
      <c r="M623" s="337">
        <f t="shared" si="274"/>
        <v>1.8796354957404002</v>
      </c>
      <c r="N623" s="340">
        <f t="shared" si="275"/>
        <v>1.009814211201018</v>
      </c>
      <c r="O623" s="355">
        <f t="shared" si="276"/>
        <v>0.97374788955542213</v>
      </c>
      <c r="P623" s="342">
        <f t="shared" si="277"/>
        <v>0.74080674771383981</v>
      </c>
      <c r="Q623" s="343">
        <f t="shared" si="283"/>
        <v>-21.226590249663335</v>
      </c>
      <c r="R623" s="344">
        <f t="shared" si="284"/>
        <v>-145.95313099516093</v>
      </c>
      <c r="S623" s="346">
        <f t="shared" si="278"/>
        <v>34.046869004839067</v>
      </c>
      <c r="T623" s="319" t="s">
        <v>332</v>
      </c>
      <c r="X623" s="345">
        <f t="shared" si="279"/>
        <v>33.593842649318859</v>
      </c>
      <c r="Y623" s="346">
        <f t="shared" si="280"/>
        <v>-58.551739840727592</v>
      </c>
      <c r="AA623" s="345">
        <f t="shared" si="285"/>
        <v>2.0123172591128116</v>
      </c>
      <c r="AB623" s="346">
        <f t="shared" si="286"/>
        <v>-87.401391154433384</v>
      </c>
    </row>
    <row r="624" spans="1:31" x14ac:dyDescent="0.2">
      <c r="A624" s="429">
        <f>Pole2</f>
        <v>7.5269248051528796</v>
      </c>
      <c r="B624" s="354"/>
      <c r="C624" s="355">
        <f t="shared" si="266"/>
        <v>1.000172930950161</v>
      </c>
      <c r="D624" s="348">
        <f t="shared" si="267"/>
        <v>1.8596022849523327E-2</v>
      </c>
      <c r="E624" s="348">
        <f t="shared" si="268"/>
        <v>1.0000000001006484</v>
      </c>
      <c r="F624" s="349">
        <f t="shared" si="269"/>
        <v>1.4187918986030586E-5</v>
      </c>
      <c r="G624" s="338">
        <f t="shared" si="281"/>
        <v>1</v>
      </c>
      <c r="H624" s="339">
        <f t="shared" si="282"/>
        <v>0</v>
      </c>
      <c r="I624" s="355">
        <f t="shared" si="270"/>
        <v>1.4142135623730951</v>
      </c>
      <c r="J624" s="356">
        <f t="shared" si="271"/>
        <v>0.78539816339744828</v>
      </c>
      <c r="K624" s="348">
        <f t="shared" si="272"/>
        <v>1.0000006850387722</v>
      </c>
      <c r="L624" s="349">
        <f t="shared" si="273"/>
        <v>1.1705027818662162E-3</v>
      </c>
      <c r="M624" s="337">
        <f t="shared" si="274"/>
        <v>1.0000000002549458</v>
      </c>
      <c r="N624" s="340">
        <f t="shared" si="275"/>
        <v>2.2580774411620724E-5</v>
      </c>
      <c r="O624" s="355">
        <f t="shared" si="276"/>
        <v>0.99999999998681233</v>
      </c>
      <c r="P624" s="342">
        <f t="shared" si="277"/>
        <v>9.3238227235173177E-6</v>
      </c>
      <c r="Q624" s="343">
        <f t="shared" si="283"/>
        <v>98.984657456230295</v>
      </c>
      <c r="R624" s="344">
        <f t="shared" si="284"/>
        <v>-45.999423899144212</v>
      </c>
      <c r="S624" s="346">
        <f t="shared" si="278"/>
        <v>134.0005761008558</v>
      </c>
      <c r="T624" s="319" t="s">
        <v>340</v>
      </c>
      <c r="W624" s="319">
        <f>Pole2</f>
        <v>7.5269248051528796</v>
      </c>
      <c r="X624" s="345">
        <f t="shared" si="279"/>
        <v>94.696930391945131</v>
      </c>
      <c r="Y624" s="346">
        <f t="shared" si="280"/>
        <v>-44.934228965107508</v>
      </c>
      <c r="AA624" s="345">
        <f t="shared" si="285"/>
        <v>61.120477222380174</v>
      </c>
      <c r="AB624" s="346">
        <f t="shared" si="286"/>
        <v>-1.0651949340367044</v>
      </c>
    </row>
    <row r="625" spans="1:28" x14ac:dyDescent="0.2">
      <c r="A625" s="429">
        <f>Zero2</f>
        <v>6430.5027585356102</v>
      </c>
      <c r="B625" s="354"/>
      <c r="C625" s="355">
        <f t="shared" si="266"/>
        <v>15.920470914515759</v>
      </c>
      <c r="D625" s="348">
        <f t="shared" si="267"/>
        <v>1.5079427379841603</v>
      </c>
      <c r="E625" s="348">
        <f t="shared" si="268"/>
        <v>1.0000734591935172</v>
      </c>
      <c r="F625" s="349">
        <f t="shared" si="269"/>
        <v>1.2120618542090148E-2</v>
      </c>
      <c r="G625" s="338">
        <f t="shared" si="281"/>
        <v>1</v>
      </c>
      <c r="H625" s="339">
        <f t="shared" si="282"/>
        <v>0</v>
      </c>
      <c r="I625" s="355">
        <f t="shared" si="270"/>
        <v>854.33391858479115</v>
      </c>
      <c r="J625" s="356">
        <f t="shared" si="271"/>
        <v>1.5696258240130303</v>
      </c>
      <c r="K625" s="348">
        <f t="shared" si="272"/>
        <v>1.4142135623730951</v>
      </c>
      <c r="L625" s="349">
        <f t="shared" si="273"/>
        <v>0.78539816339744828</v>
      </c>
      <c r="M625" s="337">
        <f t="shared" si="274"/>
        <v>1.0001860638358984</v>
      </c>
      <c r="N625" s="340">
        <f t="shared" si="275"/>
        <v>1.9289115619215577E-2</v>
      </c>
      <c r="O625" s="355">
        <f t="shared" si="276"/>
        <v>0.99999037525316858</v>
      </c>
      <c r="P625" s="342">
        <f t="shared" si="277"/>
        <v>7.9658134584631272E-3</v>
      </c>
      <c r="Q625" s="343">
        <f t="shared" si="283"/>
        <v>22.334187832337445</v>
      </c>
      <c r="R625" s="344">
        <f t="shared" si="284"/>
        <v>-132.19882203517363</v>
      </c>
      <c r="S625" s="346">
        <f t="shared" si="278"/>
        <v>47.801177964826365</v>
      </c>
      <c r="T625" s="319" t="s">
        <v>335</v>
      </c>
      <c r="W625" s="319">
        <f>Zero2</f>
        <v>6430.5027585356102</v>
      </c>
      <c r="X625" s="345">
        <f t="shared" si="279"/>
        <v>42.083355398198059</v>
      </c>
      <c r="Y625" s="346">
        <f t="shared" si="280"/>
        <v>-46.038120098817892</v>
      </c>
      <c r="AA625" s="345">
        <f t="shared" si="285"/>
        <v>37.0835825922344</v>
      </c>
      <c r="AB625" s="346">
        <f t="shared" si="286"/>
        <v>-86.160701936355736</v>
      </c>
    </row>
    <row r="626" spans="1:28" x14ac:dyDescent="0.2">
      <c r="A626" s="429">
        <f>pole3</f>
        <v>1000000</v>
      </c>
      <c r="B626" s="354"/>
      <c r="C626" s="355">
        <f t="shared" si="266"/>
        <v>2470.8853518537603</v>
      </c>
      <c r="D626" s="348">
        <f t="shared" si="267"/>
        <v>1.5703916135504927</v>
      </c>
      <c r="E626" s="348">
        <f t="shared" si="268"/>
        <v>2.1337894873375509</v>
      </c>
      <c r="F626" s="349">
        <f t="shared" si="269"/>
        <v>1.0830346188631241</v>
      </c>
      <c r="G626" s="338">
        <f t="shared" si="281"/>
        <v>1</v>
      </c>
      <c r="H626" s="339">
        <f t="shared" si="282"/>
        <v>0</v>
      </c>
      <c r="I626" s="355">
        <f t="shared" si="270"/>
        <v>132856.3823759385</v>
      </c>
      <c r="J626" s="356">
        <f t="shared" si="271"/>
        <v>1.5707887998700916</v>
      </c>
      <c r="K626" s="348">
        <f t="shared" si="272"/>
        <v>155.51205139314123</v>
      </c>
      <c r="L626" s="349">
        <f t="shared" si="273"/>
        <v>1.5643659126708525</v>
      </c>
      <c r="M626" s="337">
        <f t="shared" si="274"/>
        <v>3.1622776601683786</v>
      </c>
      <c r="N626" s="340">
        <f t="shared" si="275"/>
        <v>1.2490457723982544</v>
      </c>
      <c r="O626" s="355">
        <f t="shared" si="276"/>
        <v>1.2387293568917073</v>
      </c>
      <c r="P626" s="342" t="e">
        <f t="shared" si="277"/>
        <v>#DIV/0!</v>
      </c>
      <c r="Q626" s="343">
        <f t="shared" si="283"/>
        <v>-29.769463128980487</v>
      </c>
      <c r="R626" s="344" t="e">
        <f t="shared" si="284"/>
        <v>#DIV/0!</v>
      </c>
      <c r="S626" s="346" t="e">
        <f t="shared" si="278"/>
        <v>#DIV/0!</v>
      </c>
      <c r="T626" s="319" t="s">
        <v>333</v>
      </c>
      <c r="X626" s="345">
        <f t="shared" si="279"/>
        <v>29.074856954079134</v>
      </c>
      <c r="Y626" s="346">
        <f t="shared" si="280"/>
        <v>-71.933055588078474</v>
      </c>
      <c r="AA626" s="345">
        <f t="shared" si="285"/>
        <v>-2.0115699249646162</v>
      </c>
      <c r="AB626" s="346" t="e">
        <f t="shared" si="286"/>
        <v>#DIV/0!</v>
      </c>
    </row>
    <row r="627" spans="1:28" ht="13.5" thickBot="1" x14ac:dyDescent="0.25">
      <c r="A627" s="406">
        <f>Fp2_u</f>
        <v>333333.33333333337</v>
      </c>
      <c r="C627" s="355">
        <f>SQRT(1+(A627/pole1)^2)</f>
        <v>823.62899023538796</v>
      </c>
      <c r="D627" s="348">
        <f>ATAN(A627/pole1)</f>
        <v>1.5695821875919975</v>
      </c>
      <c r="E627" s="348">
        <f>SQRT(1+(A627/Zero1)^2)</f>
        <v>1.1810098116194299</v>
      </c>
      <c r="F627" s="349">
        <f>ATAN(A627/Zero1)</f>
        <v>0.56098211559387845</v>
      </c>
      <c r="G627" s="338">
        <f t="shared" si="281"/>
        <v>1</v>
      </c>
      <c r="H627" s="339">
        <f t="shared" si="282"/>
        <v>0</v>
      </c>
      <c r="I627" s="355">
        <f>SQRT(1+(A627/Pole2)^2)</f>
        <v>44285.460802015405</v>
      </c>
      <c r="J627" s="356">
        <f>ATAN(A627/Pole2)</f>
        <v>1.5707737460204849</v>
      </c>
      <c r="K627" s="348">
        <f>SQRT(1+(A627/Zero2)^2)</f>
        <v>51.845923581858287</v>
      </c>
      <c r="L627" s="349">
        <f>ATAN(A627/Zero2)</f>
        <v>1.5515072111756811</v>
      </c>
      <c r="M627" s="337">
        <f>SQRT(1+(A627/pole4)^2)</f>
        <v>1.4142135623730951</v>
      </c>
      <c r="N627" s="340">
        <f>ATAN(A627/pole4)</f>
        <v>0.78539816339744828</v>
      </c>
      <c r="O627" s="355">
        <f>SQRT((1-(A627^2/(pole3^2)))^2+(A627/(Q*pole3))^2)</f>
        <v>0.98011119157961157</v>
      </c>
      <c r="P627" s="342">
        <f>ATAN((A627/(Q*pole3))/(1-A627^2/pole3^2))</f>
        <v>0.43486582269650564</v>
      </c>
      <c r="Q627" s="343">
        <f t="shared" si="283"/>
        <v>-16.339846959562671</v>
      </c>
      <c r="R627" s="344">
        <f t="shared" si="284"/>
        <v>-128.80839491671136</v>
      </c>
      <c r="S627" s="346">
        <f>IF(R627&gt;0,R627,R627+180)</f>
        <v>51.191605083288636</v>
      </c>
      <c r="T627" s="319" t="s">
        <v>345</v>
      </c>
      <c r="X627" s="357"/>
      <c r="Y627" s="358"/>
      <c r="AA627" s="345">
        <f t="shared" si="285"/>
        <v>4.4269098064367434</v>
      </c>
      <c r="AB627" s="346">
        <f t="shared" si="286"/>
        <v>-82.704503731580999</v>
      </c>
    </row>
    <row r="628" spans="1:28" x14ac:dyDescent="0.2">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101.99645339321344</v>
      </c>
      <c r="R628" s="344">
        <f t="shared" si="284"/>
        <v>0</v>
      </c>
      <c r="S628" s="346">
        <f>IF(R628&gt;0,R628,R628+180)</f>
        <v>180</v>
      </c>
      <c r="T628" s="319" t="s">
        <v>439</v>
      </c>
      <c r="X628" s="353"/>
      <c r="Y628" s="353"/>
      <c r="AA628" s="345">
        <f t="shared" si="285"/>
        <v>61.121979150678214</v>
      </c>
      <c r="AB628" s="346">
        <f t="shared" si="286"/>
        <v>0</v>
      </c>
    </row>
    <row r="629" spans="1:28" x14ac:dyDescent="0.2">
      <c r="A629" s="406">
        <f>Fp2_u</f>
        <v>333333.33333333337</v>
      </c>
      <c r="Q629" s="343">
        <v>-25</v>
      </c>
    </row>
    <row r="631" spans="1:28" x14ac:dyDescent="0.2">
      <c r="D631" s="319" t="s">
        <v>364</v>
      </c>
      <c r="E631" s="319" t="s">
        <v>365</v>
      </c>
    </row>
    <row r="632" spans="1:28" x14ac:dyDescent="0.2">
      <c r="A632" s="319" t="s">
        <v>337</v>
      </c>
      <c r="B632" s="319" t="s">
        <v>436</v>
      </c>
      <c r="C632" s="359">
        <f>pole1</f>
        <v>404.71326650027254</v>
      </c>
      <c r="D632" s="359">
        <f>Q622</f>
        <v>64.391219127867288</v>
      </c>
      <c r="E632" s="359">
        <f>AA622</f>
        <v>58.111682052646501</v>
      </c>
    </row>
    <row r="633" spans="1:28" x14ac:dyDescent="0.2">
      <c r="A633" s="319" t="s">
        <v>332</v>
      </c>
      <c r="B633" s="319" t="s">
        <v>446</v>
      </c>
      <c r="C633" s="359">
        <f>Zero1</f>
        <v>530516.47757918795</v>
      </c>
      <c r="D633" s="359">
        <f>Q623</f>
        <v>-21.226590249663335</v>
      </c>
      <c r="E633" s="359">
        <f>AA623</f>
        <v>2.0123172591128116</v>
      </c>
    </row>
    <row r="634" spans="1:28" x14ac:dyDescent="0.2">
      <c r="A634" s="319" t="s">
        <v>340</v>
      </c>
      <c r="B634" s="319" t="s">
        <v>447</v>
      </c>
      <c r="C634" s="359">
        <f>Pole2</f>
        <v>7.5269248051528796</v>
      </c>
      <c r="D634" s="359">
        <f>Q624</f>
        <v>98.984657456230295</v>
      </c>
      <c r="E634" s="359">
        <f>AA624</f>
        <v>61.120477222380174</v>
      </c>
    </row>
    <row r="635" spans="1:28" x14ac:dyDescent="0.2">
      <c r="A635" s="319" t="s">
        <v>335</v>
      </c>
      <c r="B635" s="319" t="s">
        <v>448</v>
      </c>
      <c r="C635" s="359">
        <f>Zero2</f>
        <v>6430.5027585356102</v>
      </c>
      <c r="D635" s="359">
        <f>Q625</f>
        <v>22.334187832337445</v>
      </c>
      <c r="E635" s="359">
        <f>AA625</f>
        <v>37.0835825922344</v>
      </c>
    </row>
    <row r="636" spans="1:28" x14ac:dyDescent="0.2">
      <c r="A636" s="319" t="s">
        <v>333</v>
      </c>
      <c r="B636" s="319" t="s">
        <v>445</v>
      </c>
      <c r="C636" s="319">
        <f>pole3</f>
        <v>1000000</v>
      </c>
      <c r="D636" s="359">
        <f>Q626</f>
        <v>-29.769463128980487</v>
      </c>
      <c r="E636" s="359">
        <f>AA626</f>
        <v>-2.0115699249646162</v>
      </c>
    </row>
    <row r="637" spans="1:28" x14ac:dyDescent="0.2">
      <c r="C637" s="406"/>
      <c r="D637" s="359"/>
      <c r="E637" s="359"/>
    </row>
    <row r="639" spans="1:28" x14ac:dyDescent="0.2">
      <c r="A639" s="359">
        <f>Q4*1000</f>
        <v>59227</v>
      </c>
    </row>
    <row r="640" spans="1:28" x14ac:dyDescent="0.2">
      <c r="A640" s="359">
        <f>Q4*1000</f>
        <v>59227</v>
      </c>
    </row>
    <row r="687" spans="30:31" x14ac:dyDescent="0.2">
      <c r="AD687" t="s">
        <v>44</v>
      </c>
      <c r="AE687" s="4">
        <f>SUM(AE689:AE1306)</f>
        <v>0</v>
      </c>
    </row>
  </sheetData>
  <mergeCells count="20">
    <mergeCell ref="B10:B11"/>
    <mergeCell ref="A2:D2"/>
    <mergeCell ref="J2:L2"/>
    <mergeCell ref="M2:O2"/>
    <mergeCell ref="A10:A12"/>
    <mergeCell ref="O10:P10"/>
    <mergeCell ref="P2:R2"/>
    <mergeCell ref="G11:H11"/>
    <mergeCell ref="E2:G2"/>
    <mergeCell ref="C10:H10"/>
    <mergeCell ref="I10:N10"/>
    <mergeCell ref="Q10:S10"/>
    <mergeCell ref="X10:Y10"/>
    <mergeCell ref="AA10:AB10"/>
    <mergeCell ref="C11:D11"/>
    <mergeCell ref="E11:F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140625" defaultRowHeight="12.75" x14ac:dyDescent="0.2"/>
  <cols>
    <col min="1" max="1" width="16.140625" style="319" customWidth="1"/>
    <col min="2" max="2" width="15.7109375" style="319" customWidth="1"/>
    <col min="3" max="3" width="10" style="319" customWidth="1"/>
    <col min="4" max="4" width="10.85546875" style="319" customWidth="1"/>
    <col min="5" max="5" width="10.140625" style="319" customWidth="1"/>
    <col min="6" max="8" width="11.85546875" style="319" customWidth="1"/>
    <col min="9" max="9" width="14.28515625" style="319" customWidth="1"/>
    <col min="10" max="10" width="11" style="319" customWidth="1"/>
    <col min="11" max="11" width="12" style="319" customWidth="1"/>
    <col min="12" max="12" width="11.42578125" style="319" customWidth="1"/>
    <col min="13" max="13" width="10.85546875" style="319" customWidth="1"/>
    <col min="14" max="14" width="11.42578125" style="319" customWidth="1"/>
    <col min="15" max="15" width="12.28515625" style="319" customWidth="1"/>
    <col min="16" max="16" width="12.140625" style="319" customWidth="1"/>
    <col min="17" max="17" width="9.42578125" style="319" customWidth="1"/>
    <col min="18" max="18" width="16.140625" style="319" bestFit="1" customWidth="1"/>
    <col min="19" max="19" width="15.28515625" style="359" customWidth="1"/>
    <col min="20" max="20" width="9.140625" style="319"/>
    <col min="21" max="21" width="13.42578125" style="319" bestFit="1" customWidth="1"/>
    <col min="22" max="22" width="9.28515625" style="319" bestFit="1" customWidth="1"/>
    <col min="23" max="23" width="9.140625" style="319"/>
    <col min="24" max="24" width="13.5703125" style="319" customWidth="1"/>
    <col min="25" max="25" width="10.5703125" style="319" customWidth="1"/>
    <col min="26" max="26" width="9.140625" style="319"/>
    <col min="27" max="27" width="9.28515625" style="319" bestFit="1" customWidth="1"/>
    <col min="28" max="28" width="11.28515625" style="319" bestFit="1" customWidth="1"/>
    <col min="29" max="29" width="9.140625" style="319"/>
    <col min="30" max="30" width="12.28515625" customWidth="1"/>
    <col min="31" max="31" width="8.85546875" customWidth="1"/>
    <col min="32" max="16384" width="9.140625" style="319"/>
  </cols>
  <sheetData>
    <row r="1" spans="1:31" ht="13.5" thickBot="1" x14ac:dyDescent="0.25"/>
    <row r="2" spans="1:31" x14ac:dyDescent="0.2">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
      <c r="B3" s="320" t="s">
        <v>330</v>
      </c>
      <c r="C3" s="404">
        <f>Afb_Ch2</f>
        <v>0.03</v>
      </c>
      <c r="D3" s="322" t="s">
        <v>28</v>
      </c>
      <c r="E3" s="323" t="s">
        <v>331</v>
      </c>
      <c r="F3" s="321">
        <f>Acs_Ch2</f>
        <v>20.833333333333332</v>
      </c>
      <c r="G3" s="322" t="s">
        <v>419</v>
      </c>
      <c r="H3" s="415" t="s">
        <v>347</v>
      </c>
      <c r="I3" s="427">
        <f>gm</f>
        <v>1.1999999999999999E-3</v>
      </c>
      <c r="J3" s="323" t="s">
        <v>438</v>
      </c>
      <c r="K3" s="324">
        <f>Fesr_Ch2</f>
        <v>663145.59697398485</v>
      </c>
      <c r="L3" s="322" t="s">
        <v>9</v>
      </c>
      <c r="M3" s="323" t="s">
        <v>333</v>
      </c>
      <c r="N3" s="324">
        <f>Fsw/2</f>
        <v>1000000</v>
      </c>
      <c r="O3" s="322" t="s">
        <v>9</v>
      </c>
      <c r="P3" s="325" t="s">
        <v>334</v>
      </c>
      <c r="Q3" s="324">
        <f>Am_Ch2*Afb_Ch2*AEA</f>
        <v>126344.93226577638</v>
      </c>
      <c r="R3" s="322" t="s">
        <v>28</v>
      </c>
    </row>
    <row r="4" spans="1:31" x14ac:dyDescent="0.2">
      <c r="B4" s="320" t="s">
        <v>443</v>
      </c>
      <c r="C4" s="324">
        <f>Fz1_u_Ch2</f>
        <v>5606.4162066280242</v>
      </c>
      <c r="D4" s="322" t="s">
        <v>9</v>
      </c>
      <c r="E4" s="323" t="s">
        <v>336</v>
      </c>
      <c r="F4" s="329">
        <f>Am_Ch2</f>
        <v>54.837210184798778</v>
      </c>
      <c r="G4" s="322" t="s">
        <v>28</v>
      </c>
      <c r="H4" s="416"/>
      <c r="I4" s="416"/>
      <c r="J4" s="323" t="s">
        <v>437</v>
      </c>
      <c r="K4" s="324">
        <f>Fp_dominant_Ch2</f>
        <v>503.87440293675269</v>
      </c>
      <c r="L4" s="322" t="s">
        <v>9</v>
      </c>
      <c r="M4" s="323" t="s">
        <v>338</v>
      </c>
      <c r="N4" s="402">
        <f>Q_Ch2*pole3</f>
        <v>816729.86703119648</v>
      </c>
      <c r="O4" s="322"/>
      <c r="P4" s="325" t="s">
        <v>339</v>
      </c>
      <c r="Q4" s="365">
        <f>AE7</f>
        <v>59.912999999999997</v>
      </c>
      <c r="R4" s="322" t="s">
        <v>2</v>
      </c>
    </row>
    <row r="5" spans="1:31" x14ac:dyDescent="0.2">
      <c r="B5" s="320" t="s">
        <v>442</v>
      </c>
      <c r="C5" s="329">
        <f>Fp1_u_Ch2</f>
        <v>5.2860665696800622</v>
      </c>
      <c r="D5" s="322" t="s">
        <v>9</v>
      </c>
      <c r="E5" s="323" t="s">
        <v>27</v>
      </c>
      <c r="F5" s="404">
        <f>Q_Ch2</f>
        <v>0.81672986703119643</v>
      </c>
      <c r="G5" s="322"/>
      <c r="H5" s="416"/>
      <c r="I5" s="416"/>
      <c r="J5" s="323"/>
      <c r="K5" s="324"/>
      <c r="L5" s="322"/>
      <c r="M5" s="323" t="s">
        <v>341</v>
      </c>
      <c r="N5" s="321">
        <f>pole3^2</f>
        <v>1000000000000</v>
      </c>
      <c r="O5" s="322"/>
      <c r="P5" s="325" t="s">
        <v>342</v>
      </c>
      <c r="Q5" s="329">
        <f>AE9</f>
        <v>77.856485697593428</v>
      </c>
      <c r="R5" s="388" t="s">
        <v>399</v>
      </c>
    </row>
    <row r="6" spans="1:31" x14ac:dyDescent="0.2">
      <c r="B6" s="320" t="s">
        <v>343</v>
      </c>
      <c r="C6" s="321">
        <f>AEA</f>
        <v>76800</v>
      </c>
      <c r="D6" s="322" t="s">
        <v>28</v>
      </c>
      <c r="E6" s="323" t="s">
        <v>371</v>
      </c>
      <c r="F6" s="404">
        <f>mc_Ch2</f>
        <v>19.181818181818183</v>
      </c>
      <c r="G6" s="415"/>
      <c r="H6" s="418"/>
      <c r="I6" s="328"/>
      <c r="J6" s="326"/>
      <c r="K6" s="327"/>
      <c r="L6" s="328"/>
      <c r="M6" s="326"/>
      <c r="N6" s="430"/>
      <c r="O6" s="328"/>
      <c r="P6" s="400" t="s">
        <v>344</v>
      </c>
      <c r="Q6" s="327">
        <f>180/Pi</f>
        <v>57.295779578552292</v>
      </c>
      <c r="R6" s="328"/>
      <c r="AD6" s="5" t="s">
        <v>46</v>
      </c>
      <c r="AE6" s="5"/>
    </row>
    <row r="7" spans="1:31" ht="13.5" thickBot="1" x14ac:dyDescent="0.25">
      <c r="B7" s="396" t="s">
        <v>441</v>
      </c>
      <c r="C7" s="403">
        <f>Fp2_u_Ch2</f>
        <v>413907.28476821195</v>
      </c>
      <c r="D7" s="398" t="s">
        <v>9</v>
      </c>
      <c r="E7" s="397" t="s">
        <v>346</v>
      </c>
      <c r="F7" s="399">
        <f>k_Ch2</f>
        <v>0.8897370469682534</v>
      </c>
      <c r="G7" s="399"/>
      <c r="H7" s="419"/>
      <c r="I7" s="398"/>
      <c r="J7" s="397"/>
      <c r="K7" s="397"/>
      <c r="L7" s="398"/>
      <c r="M7" s="397"/>
      <c r="N7" s="397"/>
      <c r="O7" s="398"/>
      <c r="P7" s="397"/>
      <c r="Q7" s="397"/>
      <c r="R7" s="398"/>
      <c r="AD7" t="s">
        <v>43</v>
      </c>
      <c r="AE7">
        <f>SUM(AD12:AD613)/1000</f>
        <v>59.912999999999997</v>
      </c>
    </row>
    <row r="8" spans="1:31" x14ac:dyDescent="0.2">
      <c r="B8" s="405"/>
      <c r="C8" s="406"/>
      <c r="F8" s="407"/>
      <c r="G8" s="407"/>
      <c r="H8" s="407"/>
    </row>
    <row r="9" spans="1:31" ht="13.5" thickBot="1" x14ac:dyDescent="0.25">
      <c r="AD9" t="s">
        <v>44</v>
      </c>
      <c r="AE9" s="4">
        <f>SUM(AE13:AE613)</f>
        <v>77.856485697593428</v>
      </c>
    </row>
    <row r="10" spans="1:31" ht="15" x14ac:dyDescent="0.25">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x14ac:dyDescent="0.2">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2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
      <c r="A13" s="336">
        <v>1</v>
      </c>
      <c r="B13" s="364">
        <f>A13/1000</f>
        <v>1E-3</v>
      </c>
      <c r="C13" s="337">
        <f t="shared" ref="C13:C76" si="0">SQRT(1+(A13/pole1)^2)</f>
        <v>1.0000019693594149</v>
      </c>
      <c r="D13" s="338">
        <f t="shared" ref="D13:D76" si="1">ATAN(A13/pole1)</f>
        <v>1.984618947236054E-3</v>
      </c>
      <c r="E13" s="338">
        <f t="shared" ref="E13:E76" si="2">SQRT(1+(A13/Zero1)^2)</f>
        <v>1.0000000000011369</v>
      </c>
      <c r="F13" s="339">
        <f t="shared" ref="F13:F76" si="3">ATAN(A13/Zero1)</f>
        <v>1.5079644719988572E-6</v>
      </c>
      <c r="G13" s="338">
        <f t="shared" ref="G13:G76" si="4">IF(VIN_nom&gt;Vout, 1, SQRT(1+(A13/z_RHP)^2))</f>
        <v>1</v>
      </c>
      <c r="H13" s="339">
        <f t="shared" ref="H13:H76" si="5">IF(VIN_nom&gt;Vout, 0, -ATAN(A13/z_RHP))</f>
        <v>0</v>
      </c>
      <c r="I13" s="337">
        <f t="shared" ref="I13:I76" si="6">SQRT(1+(A13/Pole2)^2)</f>
        <v>1.0177365959601661</v>
      </c>
      <c r="J13" s="340">
        <f t="shared" ref="J13:J76" si="7">ATAN(A13/Pole2)</f>
        <v>0.18696709727880415</v>
      </c>
      <c r="K13" s="338">
        <f t="shared" ref="K13:K76" si="8">SQRT(1+(A13/Zero2)^2)</f>
        <v>1.0000000159074047</v>
      </c>
      <c r="L13" s="339">
        <f t="shared" ref="L13:L76" si="9">ATAN(A13/Zero2)</f>
        <v>1.7836706240482867E-4</v>
      </c>
      <c r="M13" s="337">
        <f t="shared" ref="M13:M76" si="10">SQRT(1+(A13/pole4)^2)</f>
        <v>1.0000000000029186</v>
      </c>
      <c r="N13" s="340">
        <f t="shared" ref="N13:N76" si="11">ATAN(A13/pole4)</f>
        <v>2.4159999999952992E-6</v>
      </c>
      <c r="O13" s="341">
        <f t="shared" ref="O13:O76" si="12">SQRT((1-(V13/pterm2))^2+(A13/pterm1)^2)</f>
        <v>0.99999999999974953</v>
      </c>
      <c r="P13" s="342">
        <f t="shared" ref="P13:P76" si="13">IF((ATAN((A13/pterm1)/(1-A13^2/pterm2))&gt;0),ATAN((A13/pterm1)/(1-A13^2/pterm2)),PI()+ATAN((A13/pterm1)/(1-A13^2/pterm2)))</f>
        <v>1.2243950421887824E-6</v>
      </c>
      <c r="Q13" s="343">
        <f t="shared" ref="Q13:Q76" si="14">20*LOG10(((E13*K13*G13)/(C13*I13*O13*M13))*Adc)</f>
        <v>101.87843174614198</v>
      </c>
      <c r="R13" s="344">
        <f t="shared" ref="R13:R76" si="15">((F13+L13+H13)-(D13+J13+P13+N13))*radconv</f>
        <v>-10.816038383256657</v>
      </c>
      <c r="S13" s="600">
        <f t="shared" ref="S13:S76" si="16">IF(R13&gt;0,R13,R13+180)</f>
        <v>169.18396161674335</v>
      </c>
      <c r="U13" s="319">
        <f>IF(Q13&lt;0,A13,1000000000)</f>
        <v>1000000000</v>
      </c>
      <c r="V13" s="319">
        <f>A13^2</f>
        <v>1</v>
      </c>
      <c r="X13" s="345">
        <f t="shared" ref="X13:X76" si="17">20*LOG10((K13/(I13*M13))*AEA)</f>
        <v>97.554516713990168</v>
      </c>
      <c r="Y13" s="346">
        <f t="shared" ref="Y13:Y76" si="18">(L13-(J13+N13))*radconv</f>
        <v>-10.702344340839948</v>
      </c>
      <c r="AA13" s="345">
        <f t="shared" ref="AA13:AA76" si="19">20*LOG10((E13*G13/(C13*O13))*Acs*Am)</f>
        <v>61.121962045068578</v>
      </c>
      <c r="AB13" s="346">
        <f t="shared" ref="AB13:AB76" si="20">(F13+H13-(D13+P13))*radconv</f>
        <v>-0.11369404241670984</v>
      </c>
      <c r="AD13">
        <f>SUM((Q14&lt;0)*(Q13&gt;0))*A13</f>
        <v>0</v>
      </c>
      <c r="AE13">
        <f t="shared" ref="AE13:AE76" si="21">IF(AD13&gt;0,S11,0)</f>
        <v>0</v>
      </c>
    </row>
    <row r="14" spans="1:31" x14ac:dyDescent="0.2">
      <c r="A14" s="347">
        <v>1.0965</v>
      </c>
      <c r="B14" s="364">
        <f t="shared" ref="B14:B77" si="22">A14/1000</f>
        <v>1.0965E-3</v>
      </c>
      <c r="C14" s="337">
        <f t="shared" si="0"/>
        <v>1.0000023677844774</v>
      </c>
      <c r="D14" s="338">
        <f t="shared" si="1"/>
        <v>2.1761340976275993E-3</v>
      </c>
      <c r="E14" s="338">
        <f t="shared" si="2"/>
        <v>1.0000000000013669</v>
      </c>
      <c r="F14" s="339">
        <f t="shared" si="3"/>
        <v>1.6534830435464933E-6</v>
      </c>
      <c r="G14" s="338">
        <f t="shared" si="4"/>
        <v>1</v>
      </c>
      <c r="H14" s="339">
        <f t="shared" si="5"/>
        <v>0</v>
      </c>
      <c r="I14" s="337">
        <f t="shared" si="6"/>
        <v>1.021287464330848</v>
      </c>
      <c r="J14" s="340">
        <f t="shared" si="7"/>
        <v>0.20453150960275859</v>
      </c>
      <c r="K14" s="348">
        <f t="shared" si="8"/>
        <v>1.0000000191256675</v>
      </c>
      <c r="L14" s="349">
        <f t="shared" si="9"/>
        <v>1.9557948350727722E-4</v>
      </c>
      <c r="M14" s="337">
        <f t="shared" si="10"/>
        <v>1.000000000003509</v>
      </c>
      <c r="N14" s="340">
        <f t="shared" si="11"/>
        <v>2.6491439999938024E-6</v>
      </c>
      <c r="O14" s="341">
        <f t="shared" si="12"/>
        <v>0.99999999999969891</v>
      </c>
      <c r="P14" s="342">
        <f t="shared" si="13"/>
        <v>1.3425491637601354E-6</v>
      </c>
      <c r="Q14" s="343">
        <f t="shared" si="14"/>
        <v>101.84817611329959</v>
      </c>
      <c r="R14" s="344">
        <f t="shared" si="15"/>
        <v>-11.832403681253785</v>
      </c>
      <c r="S14" s="346">
        <f t="shared" si="16"/>
        <v>168.16759631874621</v>
      </c>
      <c r="U14" s="319">
        <f t="shared" ref="U14:U77" si="23">IF(Q14&lt;0,A14,1000000000)</f>
        <v>1000000000</v>
      </c>
      <c r="V14" s="319">
        <f t="shared" ref="V14:V77" si="24">A14^2</f>
        <v>1.2023122500000001</v>
      </c>
      <c r="X14" s="345">
        <f t="shared" si="17"/>
        <v>97.524264541813949</v>
      </c>
      <c r="Y14" s="346">
        <f t="shared" si="18"/>
        <v>-11.707738196861783</v>
      </c>
      <c r="AA14" s="345">
        <f t="shared" si="19"/>
        <v>61.121958584402407</v>
      </c>
      <c r="AB14" s="346">
        <f t="shared" si="20"/>
        <v>-0.12466548439200298</v>
      </c>
      <c r="AD14">
        <f t="shared" ref="AD14:AD77" si="25">SUM((Q15&lt;0)*(Q14&gt;0))*A14</f>
        <v>0</v>
      </c>
      <c r="AE14">
        <f t="shared" si="21"/>
        <v>0</v>
      </c>
    </row>
    <row r="15" spans="1:31" x14ac:dyDescent="0.2">
      <c r="A15" s="347">
        <v>1.2022999999999999</v>
      </c>
      <c r="B15" s="364">
        <f t="shared" si="22"/>
        <v>1.2022999999999999E-3</v>
      </c>
      <c r="C15" s="337">
        <f t="shared" si="0"/>
        <v>1.0000028467575903</v>
      </c>
      <c r="D15" s="338">
        <f t="shared" si="1"/>
        <v>2.3861059645539505E-3</v>
      </c>
      <c r="E15" s="338">
        <f t="shared" si="2"/>
        <v>1.0000000000016436</v>
      </c>
      <c r="F15" s="339">
        <f t="shared" si="3"/>
        <v>1.8130256846836137E-6</v>
      </c>
      <c r="G15" s="338">
        <f t="shared" si="4"/>
        <v>1</v>
      </c>
      <c r="H15" s="339">
        <f t="shared" si="5"/>
        <v>0</v>
      </c>
      <c r="I15" s="337">
        <f t="shared" si="6"/>
        <v>1.0255399257296471</v>
      </c>
      <c r="J15" s="340">
        <f t="shared" si="7"/>
        <v>0.22364231110581367</v>
      </c>
      <c r="K15" s="348">
        <f t="shared" si="8"/>
        <v>1.0000000229945556</v>
      </c>
      <c r="L15" s="349">
        <f t="shared" si="9"/>
        <v>2.1445071811609578E-4</v>
      </c>
      <c r="M15" s="337">
        <f t="shared" si="10"/>
        <v>1.0000000000042188</v>
      </c>
      <c r="N15" s="340">
        <f t="shared" si="11"/>
        <v>2.9047567999918301E-6</v>
      </c>
      <c r="O15" s="341">
        <f t="shared" si="12"/>
        <v>0.99999999999963807</v>
      </c>
      <c r="P15" s="342">
        <f t="shared" si="13"/>
        <v>1.4720901592239007E-6</v>
      </c>
      <c r="Q15" s="343">
        <f t="shared" si="14"/>
        <v>101.81208055679124</v>
      </c>
      <c r="R15" s="344">
        <f t="shared" si="15"/>
        <v>-12.938334138015851</v>
      </c>
      <c r="S15" s="346">
        <f t="shared" si="16"/>
        <v>167.06166586198415</v>
      </c>
      <c r="U15" s="319">
        <f t="shared" si="23"/>
        <v>1000000000</v>
      </c>
      <c r="V15" s="319">
        <f t="shared" si="24"/>
        <v>1.4455252899999997</v>
      </c>
      <c r="X15" s="345">
        <f t="shared" si="17"/>
        <v>97.488173145599433</v>
      </c>
      <c r="Y15" s="346">
        <f t="shared" si="18"/>
        <v>-12.801639870786417</v>
      </c>
      <c r="AA15" s="345">
        <f t="shared" si="19"/>
        <v>61.12195442410858</v>
      </c>
      <c r="AB15" s="346">
        <f t="shared" si="20"/>
        <v>-0.13669426722943481</v>
      </c>
      <c r="AD15">
        <f t="shared" si="25"/>
        <v>0</v>
      </c>
      <c r="AE15">
        <f t="shared" si="21"/>
        <v>0</v>
      </c>
    </row>
    <row r="16" spans="1:31" x14ac:dyDescent="0.2">
      <c r="A16" s="347">
        <v>1.3183</v>
      </c>
      <c r="B16" s="364">
        <f t="shared" si="22"/>
        <v>1.3183000000000001E-3</v>
      </c>
      <c r="C16" s="337">
        <f t="shared" si="0"/>
        <v>1.0000034225765639</v>
      </c>
      <c r="D16" s="338">
        <f t="shared" si="1"/>
        <v>2.6163206234237416E-3</v>
      </c>
      <c r="E16" s="338">
        <f t="shared" si="2"/>
        <v>1.000000000001976</v>
      </c>
      <c r="F16" s="339">
        <f t="shared" si="3"/>
        <v>1.9879495634349819E-6</v>
      </c>
      <c r="G16" s="338">
        <f t="shared" si="4"/>
        <v>1</v>
      </c>
      <c r="H16" s="339">
        <f t="shared" si="5"/>
        <v>0</v>
      </c>
      <c r="I16" s="337">
        <f t="shared" si="6"/>
        <v>1.0306289892978446</v>
      </c>
      <c r="J16" s="340">
        <f t="shared" si="7"/>
        <v>0.24440586266794795</v>
      </c>
      <c r="K16" s="348">
        <f t="shared" si="8"/>
        <v>1.0000000276457153</v>
      </c>
      <c r="L16" s="349">
        <f t="shared" si="9"/>
        <v>2.3514129652817795E-4</v>
      </c>
      <c r="M16" s="337">
        <f t="shared" si="10"/>
        <v>1.0000000000050722</v>
      </c>
      <c r="N16" s="340">
        <f t="shared" si="11"/>
        <v>3.1850127999892298E-6</v>
      </c>
      <c r="O16" s="341">
        <f t="shared" si="12"/>
        <v>0.99999999999956479</v>
      </c>
      <c r="P16" s="342">
        <f t="shared" si="13"/>
        <v>1.6141199841180675E-6</v>
      </c>
      <c r="Q16" s="343">
        <f t="shared" si="14"/>
        <v>101.76907996975902</v>
      </c>
      <c r="R16" s="344">
        <f t="shared" si="15"/>
        <v>-14.140017029913649</v>
      </c>
      <c r="S16" s="346">
        <f t="shared" si="16"/>
        <v>165.85998297008635</v>
      </c>
      <c r="U16" s="319">
        <f t="shared" si="23"/>
        <v>1000000000</v>
      </c>
      <c r="V16" s="319">
        <f t="shared" si="24"/>
        <v>1.7379148900000001</v>
      </c>
      <c r="X16" s="345">
        <f t="shared" si="17"/>
        <v>97.445177560048052</v>
      </c>
      <c r="Y16" s="346">
        <f t="shared" si="18"/>
        <v>-13.990134319024317</v>
      </c>
      <c r="AA16" s="345">
        <f t="shared" si="19"/>
        <v>61.121949422627722</v>
      </c>
      <c r="AB16" s="346">
        <f t="shared" si="20"/>
        <v>-0.14988271088933072</v>
      </c>
      <c r="AD16">
        <f t="shared" si="25"/>
        <v>0</v>
      </c>
      <c r="AE16">
        <f t="shared" si="21"/>
        <v>0</v>
      </c>
    </row>
    <row r="17" spans="1:31" x14ac:dyDescent="0.2">
      <c r="A17" s="347">
        <v>1.4454</v>
      </c>
      <c r="B17" s="364">
        <f t="shared" si="22"/>
        <v>1.4454000000000001E-3</v>
      </c>
      <c r="C17" s="337">
        <f t="shared" si="0"/>
        <v>1.000004114344174</v>
      </c>
      <c r="D17" s="338">
        <f t="shared" si="1"/>
        <v>2.8685641243236578E-3</v>
      </c>
      <c r="E17" s="338">
        <f t="shared" si="2"/>
        <v>1.0000000000023754</v>
      </c>
      <c r="F17" s="339">
        <f t="shared" si="3"/>
        <v>2.1796118478253486E-6</v>
      </c>
      <c r="G17" s="338">
        <f t="shared" si="4"/>
        <v>1</v>
      </c>
      <c r="H17" s="339">
        <f t="shared" si="5"/>
        <v>0</v>
      </c>
      <c r="I17" s="337">
        <f t="shared" si="6"/>
        <v>1.0367097728566601</v>
      </c>
      <c r="J17" s="340">
        <f t="shared" si="7"/>
        <v>0.26691143377796189</v>
      </c>
      <c r="K17" s="348">
        <f t="shared" si="8"/>
        <v>1.00000003323345</v>
      </c>
      <c r="L17" s="349">
        <f t="shared" si="9"/>
        <v>2.5781174902203411E-4</v>
      </c>
      <c r="M17" s="337">
        <f t="shared" si="10"/>
        <v>1.0000000000060973</v>
      </c>
      <c r="N17" s="340">
        <f t="shared" si="11"/>
        <v>3.4920863999858048E-6</v>
      </c>
      <c r="O17" s="341">
        <f t="shared" si="12"/>
        <v>0.99999999999947675</v>
      </c>
      <c r="P17" s="342">
        <f t="shared" si="13"/>
        <v>1.7697405939806301E-6</v>
      </c>
      <c r="Q17" s="343">
        <f t="shared" si="14"/>
        <v>101.71797723911224</v>
      </c>
      <c r="R17" s="344">
        <f t="shared" si="15"/>
        <v>-15.442660367286553</v>
      </c>
      <c r="S17" s="346">
        <f t="shared" si="16"/>
        <v>164.55733963271345</v>
      </c>
      <c r="U17" s="319">
        <f t="shared" si="23"/>
        <v>1000000000</v>
      </c>
      <c r="V17" s="319">
        <f t="shared" si="24"/>
        <v>2.0891811599999999</v>
      </c>
      <c r="X17" s="345">
        <f t="shared" si="17"/>
        <v>97.39408083799151</v>
      </c>
      <c r="Y17" s="346">
        <f t="shared" si="18"/>
        <v>-15.278327233405379</v>
      </c>
      <c r="AA17" s="345">
        <f t="shared" si="19"/>
        <v>61.121943414037489</v>
      </c>
      <c r="AB17" s="346">
        <f t="shared" si="20"/>
        <v>-0.16433313388117532</v>
      </c>
      <c r="AD17">
        <f t="shared" si="25"/>
        <v>0</v>
      </c>
      <c r="AE17">
        <f t="shared" si="21"/>
        <v>0</v>
      </c>
    </row>
    <row r="18" spans="1:31" x14ac:dyDescent="0.2">
      <c r="A18" s="347">
        <v>1.5849</v>
      </c>
      <c r="B18" s="364">
        <f t="shared" si="22"/>
        <v>1.5849E-3</v>
      </c>
      <c r="C18" s="337">
        <f t="shared" si="0"/>
        <v>1.0000049468423242</v>
      </c>
      <c r="D18" s="338">
        <f t="shared" si="1"/>
        <v>3.14541632586849E-3</v>
      </c>
      <c r="E18" s="338">
        <f t="shared" si="2"/>
        <v>1.0000000000028559</v>
      </c>
      <c r="F18" s="339">
        <f t="shared" si="3"/>
        <v>2.3899728916682497E-6</v>
      </c>
      <c r="G18" s="338">
        <f t="shared" si="4"/>
        <v>1</v>
      </c>
      <c r="H18" s="339">
        <f t="shared" si="5"/>
        <v>0</v>
      </c>
      <c r="I18" s="337">
        <f t="shared" si="6"/>
        <v>1.0439806550500716</v>
      </c>
      <c r="J18" s="340">
        <f t="shared" si="7"/>
        <v>0.29129711990406648</v>
      </c>
      <c r="K18" s="348">
        <f t="shared" si="8"/>
        <v>1.0000000399579367</v>
      </c>
      <c r="L18" s="349">
        <f t="shared" si="9"/>
        <v>2.8269395267278635E-4</v>
      </c>
      <c r="M18" s="337">
        <f t="shared" si="10"/>
        <v>1.000000000007331</v>
      </c>
      <c r="N18" s="340">
        <f t="shared" si="11"/>
        <v>3.829118399981285E-6</v>
      </c>
      <c r="O18" s="341">
        <f t="shared" si="12"/>
        <v>0.99999999999937095</v>
      </c>
      <c r="P18" s="342">
        <f t="shared" si="13"/>
        <v>1.9405437023664686E-6</v>
      </c>
      <c r="Q18" s="343">
        <f t="shared" si="14"/>
        <v>101.65726489243067</v>
      </c>
      <c r="R18" s="344">
        <f t="shared" si="15"/>
        <v>-16.854311125907778</v>
      </c>
      <c r="S18" s="346">
        <f t="shared" si="16"/>
        <v>163.14568887409223</v>
      </c>
      <c r="U18" s="319">
        <f t="shared" si="23"/>
        <v>1000000000</v>
      </c>
      <c r="V18" s="319">
        <f t="shared" si="24"/>
        <v>2.51190801</v>
      </c>
      <c r="X18" s="345">
        <f t="shared" si="17"/>
        <v>97.333375722259134</v>
      </c>
      <c r="Y18" s="346">
        <f t="shared" si="18"/>
        <v>-16.674117795813807</v>
      </c>
      <c r="AA18" s="345">
        <f t="shared" si="19"/>
        <v>61.121936183088287</v>
      </c>
      <c r="AB18" s="346">
        <f t="shared" si="20"/>
        <v>-0.18019333009397442</v>
      </c>
      <c r="AD18">
        <f t="shared" si="25"/>
        <v>0</v>
      </c>
      <c r="AE18">
        <f t="shared" si="21"/>
        <v>0</v>
      </c>
    </row>
    <row r="19" spans="1:31" x14ac:dyDescent="0.2">
      <c r="A19" s="347">
        <v>1.7378</v>
      </c>
      <c r="B19" s="364">
        <f t="shared" si="22"/>
        <v>1.7378000000000001E-3</v>
      </c>
      <c r="C19" s="337">
        <f t="shared" si="0"/>
        <v>1.0000059473528511</v>
      </c>
      <c r="D19" s="338">
        <f t="shared" si="1"/>
        <v>3.4488616601552049E-3</v>
      </c>
      <c r="E19" s="338">
        <f t="shared" si="2"/>
        <v>1.0000000000034337</v>
      </c>
      <c r="F19" s="339">
        <f t="shared" si="3"/>
        <v>2.6205406594356019E-6</v>
      </c>
      <c r="G19" s="338">
        <f t="shared" si="4"/>
        <v>1</v>
      </c>
      <c r="H19" s="339">
        <f t="shared" si="5"/>
        <v>0</v>
      </c>
      <c r="I19" s="337">
        <f t="shared" si="6"/>
        <v>1.0526524882135266</v>
      </c>
      <c r="J19" s="340">
        <f t="shared" si="7"/>
        <v>0.31762085686389546</v>
      </c>
      <c r="K19" s="348">
        <f t="shared" si="8"/>
        <v>1.0000000480395475</v>
      </c>
      <c r="L19" s="349">
        <f t="shared" si="9"/>
        <v>3.0996627440719093E-4</v>
      </c>
      <c r="M19" s="337">
        <f t="shared" si="10"/>
        <v>1.0000000000088138</v>
      </c>
      <c r="N19" s="340">
        <f t="shared" si="11"/>
        <v>4.19852479997533E-6</v>
      </c>
      <c r="O19" s="341">
        <f t="shared" si="12"/>
        <v>0.99999999999924372</v>
      </c>
      <c r="P19" s="342">
        <f t="shared" si="13"/>
        <v>2.1277537043178156E-6</v>
      </c>
      <c r="Q19" s="343">
        <f t="shared" si="14"/>
        <v>101.58540487041202</v>
      </c>
      <c r="R19" s="344">
        <f t="shared" si="15"/>
        <v>-18.37839238570535</v>
      </c>
      <c r="S19" s="346">
        <f t="shared" si="16"/>
        <v>161.62160761429465</v>
      </c>
      <c r="U19" s="319">
        <f t="shared" si="23"/>
        <v>1000000000</v>
      </c>
      <c r="V19" s="319">
        <f t="shared" si="24"/>
        <v>3.0199488400000001</v>
      </c>
      <c r="X19" s="345">
        <f t="shared" si="17"/>
        <v>97.261524390511056</v>
      </c>
      <c r="Y19" s="346">
        <f t="shared" si="18"/>
        <v>-18.180815402840938</v>
      </c>
      <c r="AA19" s="345">
        <f t="shared" si="19"/>
        <v>61.121927492817719</v>
      </c>
      <c r="AB19" s="346">
        <f t="shared" si="20"/>
        <v>-0.19757698286441294</v>
      </c>
      <c r="AD19">
        <f t="shared" si="25"/>
        <v>0</v>
      </c>
      <c r="AE19">
        <f t="shared" si="21"/>
        <v>0</v>
      </c>
    </row>
    <row r="20" spans="1:31" x14ac:dyDescent="0.2">
      <c r="A20" s="347">
        <v>1.9055</v>
      </c>
      <c r="B20" s="364">
        <f t="shared" si="22"/>
        <v>1.9055000000000001E-3</v>
      </c>
      <c r="C20" s="337">
        <f t="shared" si="0"/>
        <v>1.000007150588148</v>
      </c>
      <c r="D20" s="338">
        <f t="shared" si="1"/>
        <v>3.781678341485766E-3</v>
      </c>
      <c r="E20" s="338">
        <f t="shared" si="2"/>
        <v>1.0000000000041283</v>
      </c>
      <c r="F20" s="339">
        <f t="shared" si="3"/>
        <v>2.8734263013880922E-6</v>
      </c>
      <c r="G20" s="338">
        <f t="shared" si="4"/>
        <v>1</v>
      </c>
      <c r="H20" s="339">
        <f t="shared" si="5"/>
        <v>0</v>
      </c>
      <c r="I20" s="337">
        <f t="shared" si="6"/>
        <v>1.0629877367437481</v>
      </c>
      <c r="J20" s="340">
        <f t="shared" si="7"/>
        <v>0.34597688251513808</v>
      </c>
      <c r="K20" s="348">
        <f t="shared" si="8"/>
        <v>1.0000000577586756</v>
      </c>
      <c r="L20" s="349">
        <f t="shared" si="9"/>
        <v>3.3987842792950504E-4</v>
      </c>
      <c r="M20" s="337">
        <f t="shared" si="10"/>
        <v>1.0000000000105969</v>
      </c>
      <c r="N20" s="340">
        <f t="shared" si="11"/>
        <v>4.6036879999674758E-6</v>
      </c>
      <c r="O20" s="341">
        <f t="shared" si="12"/>
        <v>0.99999999999909073</v>
      </c>
      <c r="P20" s="342">
        <f t="shared" si="13"/>
        <v>2.3330847528937958E-6</v>
      </c>
      <c r="Q20" s="343">
        <f t="shared" si="14"/>
        <v>101.50052984555593</v>
      </c>
      <c r="R20" s="344">
        <f t="shared" si="15"/>
        <v>-20.02044862166527</v>
      </c>
      <c r="S20" s="346">
        <f t="shared" si="16"/>
        <v>159.97955137833472</v>
      </c>
      <c r="U20" s="319">
        <f t="shared" si="23"/>
        <v>1000000000</v>
      </c>
      <c r="V20" s="319">
        <f t="shared" si="24"/>
        <v>3.63093025</v>
      </c>
      <c r="X20" s="345">
        <f t="shared" si="17"/>
        <v>97.176659816748156</v>
      </c>
      <c r="Y20" s="346">
        <f t="shared" si="18"/>
        <v>-19.803805372264776</v>
      </c>
      <c r="AA20" s="345">
        <f t="shared" si="19"/>
        <v>61.121917041724529</v>
      </c>
      <c r="AB20" s="346">
        <f t="shared" si="20"/>
        <v>-0.21664324940049401</v>
      </c>
      <c r="AD20">
        <f t="shared" si="25"/>
        <v>0</v>
      </c>
      <c r="AE20">
        <f t="shared" si="21"/>
        <v>0</v>
      </c>
    </row>
    <row r="21" spans="1:31" x14ac:dyDescent="0.2">
      <c r="A21" s="347">
        <v>2.0893000000000002</v>
      </c>
      <c r="B21" s="364">
        <f t="shared" si="22"/>
        <v>2.0893000000000001E-3</v>
      </c>
      <c r="C21" s="337">
        <f t="shared" si="0"/>
        <v>1.0000085965689938</v>
      </c>
      <c r="D21" s="338">
        <f t="shared" si="1"/>
        <v>4.1464460469128181E-3</v>
      </c>
      <c r="E21" s="338">
        <f t="shared" si="2"/>
        <v>1.0000000000049631</v>
      </c>
      <c r="F21" s="339">
        <f t="shared" si="3"/>
        <v>3.1505901713391761E-6</v>
      </c>
      <c r="G21" s="338">
        <f t="shared" si="4"/>
        <v>1</v>
      </c>
      <c r="H21" s="339">
        <f t="shared" si="5"/>
        <v>0</v>
      </c>
      <c r="I21" s="337">
        <f t="shared" si="6"/>
        <v>1.0752766615536737</v>
      </c>
      <c r="J21" s="340">
        <f t="shared" si="7"/>
        <v>0.37640194019871109</v>
      </c>
      <c r="K21" s="348">
        <f t="shared" si="8"/>
        <v>1.0000000694385953</v>
      </c>
      <c r="L21" s="349">
        <f t="shared" si="9"/>
        <v>3.7266229018303803E-4</v>
      </c>
      <c r="M21" s="337">
        <f t="shared" si="10"/>
        <v>1.00000000001274</v>
      </c>
      <c r="N21" s="340">
        <f t="shared" si="11"/>
        <v>5.0477487999571282E-6</v>
      </c>
      <c r="O21" s="341">
        <f t="shared" si="12"/>
        <v>0.99999999999890687</v>
      </c>
      <c r="P21" s="342">
        <f t="shared" si="13"/>
        <v>2.5581285616493298E-6</v>
      </c>
      <c r="Q21" s="343">
        <f t="shared" si="14"/>
        <v>101.4006780785586</v>
      </c>
      <c r="R21" s="344">
        <f t="shared" si="15"/>
        <v>-21.782719750020295</v>
      </c>
      <c r="S21" s="346">
        <f t="shared" si="16"/>
        <v>158.21728024997969</v>
      </c>
      <c r="U21" s="319">
        <f t="shared" si="23"/>
        <v>1000000000</v>
      </c>
      <c r="V21" s="319">
        <f t="shared" si="24"/>
        <v>4.3651744900000002</v>
      </c>
      <c r="X21" s="345">
        <f t="shared" si="17"/>
        <v>97.076820609273142</v>
      </c>
      <c r="Y21" s="346">
        <f t="shared" si="18"/>
        <v>-21.545179836831817</v>
      </c>
      <c r="AA21" s="345">
        <f t="shared" si="19"/>
        <v>61.121904482202225</v>
      </c>
      <c r="AB21" s="346">
        <f t="shared" si="20"/>
        <v>-0.23753991318847875</v>
      </c>
      <c r="AD21">
        <f t="shared" si="25"/>
        <v>0</v>
      </c>
      <c r="AE21">
        <f t="shared" si="21"/>
        <v>0</v>
      </c>
    </row>
    <row r="22" spans="1:31" x14ac:dyDescent="0.2">
      <c r="A22" s="347">
        <v>2.2909000000000002</v>
      </c>
      <c r="B22" s="364">
        <f t="shared" si="22"/>
        <v>2.2909000000000002E-3</v>
      </c>
      <c r="C22" s="337">
        <f t="shared" si="0"/>
        <v>1.0000103355937671</v>
      </c>
      <c r="D22" s="338">
        <f t="shared" si="1"/>
        <v>4.5465381879974554E-3</v>
      </c>
      <c r="E22" s="338">
        <f t="shared" si="2"/>
        <v>1.0000000000059672</v>
      </c>
      <c r="F22" s="339">
        <f t="shared" si="3"/>
        <v>3.4545958088910579E-6</v>
      </c>
      <c r="G22" s="338">
        <f t="shared" si="4"/>
        <v>1</v>
      </c>
      <c r="H22" s="339">
        <f t="shared" si="5"/>
        <v>0</v>
      </c>
      <c r="I22" s="337">
        <f t="shared" si="6"/>
        <v>1.0898725782354326</v>
      </c>
      <c r="J22" s="340">
        <f t="shared" si="7"/>
        <v>0.40895101452372845</v>
      </c>
      <c r="K22" s="348">
        <f t="shared" si="8"/>
        <v>1.0000000834856013</v>
      </c>
      <c r="L22" s="349">
        <f t="shared" si="9"/>
        <v>4.0862108485397163E-4</v>
      </c>
      <c r="M22" s="337">
        <f t="shared" si="10"/>
        <v>1.0000000000153171</v>
      </c>
      <c r="N22" s="340">
        <f t="shared" si="11"/>
        <v>5.5348143999434814E-6</v>
      </c>
      <c r="O22" s="341">
        <f t="shared" si="12"/>
        <v>0.99999999999868572</v>
      </c>
      <c r="P22" s="342">
        <f t="shared" si="13"/>
        <v>2.8049666021562424E-6</v>
      </c>
      <c r="Q22" s="343">
        <f t="shared" si="14"/>
        <v>101.28355297723887</v>
      </c>
      <c r="R22" s="344">
        <f t="shared" si="15"/>
        <v>-23.668532273326942</v>
      </c>
      <c r="S22" s="346">
        <f t="shared" si="16"/>
        <v>156.33146772667305</v>
      </c>
      <c r="U22" s="319">
        <f t="shared" si="23"/>
        <v>1000000000</v>
      </c>
      <c r="V22" s="319">
        <f t="shared" si="24"/>
        <v>5.2482228100000006</v>
      </c>
      <c r="X22" s="345">
        <f t="shared" si="17"/>
        <v>96.959710612777045</v>
      </c>
      <c r="Y22" s="346">
        <f t="shared" si="18"/>
        <v>-23.408072044473808</v>
      </c>
      <c r="AA22" s="345">
        <f t="shared" si="19"/>
        <v>61.121889377378594</v>
      </c>
      <c r="AB22" s="346">
        <f t="shared" si="20"/>
        <v>-0.26046022885313591</v>
      </c>
      <c r="AD22">
        <f t="shared" si="25"/>
        <v>0</v>
      </c>
      <c r="AE22">
        <f t="shared" si="21"/>
        <v>0</v>
      </c>
    </row>
    <row r="23" spans="1:31" x14ac:dyDescent="0.2">
      <c r="A23" s="347">
        <v>2.5118999999999998</v>
      </c>
      <c r="B23" s="364">
        <f t="shared" si="22"/>
        <v>2.5118999999999996E-3</v>
      </c>
      <c r="C23" s="337">
        <f t="shared" si="0"/>
        <v>1.0000124258871432</v>
      </c>
      <c r="D23" s="338">
        <f t="shared" si="1"/>
        <v>4.9851295821940738E-3</v>
      </c>
      <c r="E23" s="338">
        <f t="shared" si="2"/>
        <v>1.0000000000071738</v>
      </c>
      <c r="F23" s="339">
        <f t="shared" si="3"/>
        <v>3.7878559571986843E-6</v>
      </c>
      <c r="G23" s="338">
        <f t="shared" si="4"/>
        <v>1</v>
      </c>
      <c r="H23" s="339">
        <f t="shared" si="5"/>
        <v>0</v>
      </c>
      <c r="I23" s="337">
        <f t="shared" si="6"/>
        <v>1.1071621642614193</v>
      </c>
      <c r="J23" s="340">
        <f t="shared" si="7"/>
        <v>0.44360551267549247</v>
      </c>
      <c r="K23" s="348">
        <f t="shared" si="8"/>
        <v>1.0000001003700183</v>
      </c>
      <c r="L23" s="349">
        <f t="shared" si="9"/>
        <v>4.4804019882625871E-4</v>
      </c>
      <c r="M23" s="337">
        <f t="shared" si="10"/>
        <v>1.0000000000184148</v>
      </c>
      <c r="N23" s="340">
        <f t="shared" si="11"/>
        <v>6.0687503999254957E-6</v>
      </c>
      <c r="O23" s="341">
        <f t="shared" si="12"/>
        <v>0.99999999999841993</v>
      </c>
      <c r="P23" s="342">
        <f t="shared" si="13"/>
        <v>3.0755579064821712E-6</v>
      </c>
      <c r="Q23" s="343">
        <f t="shared" si="14"/>
        <v>101.14682476185936</v>
      </c>
      <c r="R23" s="344">
        <f t="shared" si="15"/>
        <v>-25.676986649436454</v>
      </c>
      <c r="S23" s="346">
        <f t="shared" si="16"/>
        <v>154.32301335056354</v>
      </c>
      <c r="U23" s="319">
        <f t="shared" si="23"/>
        <v>1000000000</v>
      </c>
      <c r="V23" s="319">
        <f t="shared" si="24"/>
        <v>6.309641609999999</v>
      </c>
      <c r="X23" s="345">
        <f t="shared" si="17"/>
        <v>96.823000553235687</v>
      </c>
      <c r="Y23" s="346">
        <f t="shared" si="18"/>
        <v>-25.391400575396652</v>
      </c>
      <c r="AA23" s="345">
        <f t="shared" si="19"/>
        <v>61.121871221540431</v>
      </c>
      <c r="AB23" s="346">
        <f t="shared" si="20"/>
        <v>-0.28558607403980402</v>
      </c>
      <c r="AD23">
        <f t="shared" si="25"/>
        <v>0</v>
      </c>
      <c r="AE23">
        <f t="shared" si="21"/>
        <v>0</v>
      </c>
    </row>
    <row r="24" spans="1:31" x14ac:dyDescent="0.2">
      <c r="A24" s="347">
        <v>2.7542</v>
      </c>
      <c r="B24" s="364">
        <f t="shared" si="22"/>
        <v>2.7542000000000001E-3</v>
      </c>
      <c r="C24" s="337">
        <f t="shared" si="0"/>
        <v>1.0000149387106441</v>
      </c>
      <c r="D24" s="338">
        <f t="shared" si="1"/>
        <v>5.4659902443346935E-3</v>
      </c>
      <c r="E24" s="338">
        <f t="shared" si="2"/>
        <v>1.0000000000086247</v>
      </c>
      <c r="F24" s="339">
        <f t="shared" si="3"/>
        <v>4.1532357487585205E-6</v>
      </c>
      <c r="G24" s="338">
        <f t="shared" si="4"/>
        <v>1</v>
      </c>
      <c r="H24" s="339">
        <f t="shared" si="5"/>
        <v>0</v>
      </c>
      <c r="I24" s="337">
        <f t="shared" si="6"/>
        <v>1.1275958521706158</v>
      </c>
      <c r="J24" s="340">
        <f t="shared" si="7"/>
        <v>0.48032982778869482</v>
      </c>
      <c r="K24" s="348">
        <f t="shared" si="8"/>
        <v>1.0000001206674833</v>
      </c>
      <c r="L24" s="349">
        <f t="shared" si="9"/>
        <v>4.9125852896585826E-4</v>
      </c>
      <c r="M24" s="337">
        <f t="shared" si="10"/>
        <v>1.0000000000221387</v>
      </c>
      <c r="N24" s="340">
        <f t="shared" si="11"/>
        <v>6.6541471999017896E-6</v>
      </c>
      <c r="O24" s="341">
        <f t="shared" si="12"/>
        <v>0.99999999999810041</v>
      </c>
      <c r="P24" s="342">
        <f t="shared" si="13"/>
        <v>3.3722288252074544E-6</v>
      </c>
      <c r="Q24" s="343">
        <f t="shared" si="14"/>
        <v>100.9879584381212</v>
      </c>
      <c r="R24" s="344">
        <f t="shared" si="15"/>
        <v>-27.806239575961953</v>
      </c>
      <c r="S24" s="346">
        <f t="shared" si="16"/>
        <v>152.19376042403803</v>
      </c>
      <c r="U24" s="319">
        <f t="shared" si="23"/>
        <v>1000000000</v>
      </c>
      <c r="V24" s="319">
        <f t="shared" si="24"/>
        <v>7.5856176399999997</v>
      </c>
      <c r="X24" s="345">
        <f t="shared" si="17"/>
        <v>96.664156055291116</v>
      </c>
      <c r="Y24" s="346">
        <f t="shared" si="18"/>
        <v>-27.493106152144577</v>
      </c>
      <c r="AA24" s="345">
        <f t="shared" si="19"/>
        <v>61.121849395746828</v>
      </c>
      <c r="AB24" s="346">
        <f t="shared" si="20"/>
        <v>-0.31313342381737669</v>
      </c>
      <c r="AD24">
        <f t="shared" si="25"/>
        <v>0</v>
      </c>
      <c r="AE24">
        <f t="shared" si="21"/>
        <v>0</v>
      </c>
    </row>
    <row r="25" spans="1:31" x14ac:dyDescent="0.2">
      <c r="A25" s="347">
        <v>3.02</v>
      </c>
      <c r="B25" s="364">
        <f t="shared" si="22"/>
        <v>3.0200000000000001E-3</v>
      </c>
      <c r="C25" s="337">
        <f t="shared" si="0"/>
        <v>1.0000179612019908</v>
      </c>
      <c r="D25" s="338">
        <f t="shared" si="1"/>
        <v>5.9934853228633816E-3</v>
      </c>
      <c r="E25" s="338">
        <f t="shared" si="2"/>
        <v>1.0000000000103697</v>
      </c>
      <c r="F25" s="339">
        <f t="shared" si="3"/>
        <v>4.5540527054085181E-6</v>
      </c>
      <c r="G25" s="338">
        <f t="shared" si="4"/>
        <v>1</v>
      </c>
      <c r="H25" s="339">
        <f t="shared" si="5"/>
        <v>0</v>
      </c>
      <c r="I25" s="337">
        <f t="shared" si="6"/>
        <v>1.1516939078468587</v>
      </c>
      <c r="J25" s="340">
        <f t="shared" si="7"/>
        <v>0.51905919361970343</v>
      </c>
      <c r="K25" s="348">
        <f t="shared" si="8"/>
        <v>1.0000001450818843</v>
      </c>
      <c r="L25" s="349">
        <f t="shared" si="9"/>
        <v>5.386684820744361E-4</v>
      </c>
      <c r="M25" s="337">
        <f t="shared" si="10"/>
        <v>1.0000000000266183</v>
      </c>
      <c r="N25" s="340">
        <f t="shared" si="11"/>
        <v>7.296319999870523E-6</v>
      </c>
      <c r="O25" s="341">
        <f t="shared" si="12"/>
        <v>0.99999999999771605</v>
      </c>
      <c r="P25" s="342">
        <f t="shared" si="13"/>
        <v>3.6976730274251439E-6</v>
      </c>
      <c r="Q25" s="343">
        <f t="shared" si="14"/>
        <v>100.80426039999153</v>
      </c>
      <c r="R25" s="344">
        <f t="shared" si="15"/>
        <v>-30.052808110608019</v>
      </c>
      <c r="S25" s="346">
        <f t="shared" si="16"/>
        <v>149.94719188939197</v>
      </c>
      <c r="U25" s="319">
        <f t="shared" si="23"/>
        <v>1000000000</v>
      </c>
      <c r="V25" s="319">
        <f t="shared" si="24"/>
        <v>9.1204000000000001</v>
      </c>
      <c r="X25" s="345">
        <f t="shared" si="17"/>
        <v>96.480484269737389</v>
      </c>
      <c r="Y25" s="346">
        <f t="shared" si="18"/>
        <v>-29.709455763583222</v>
      </c>
      <c r="AA25" s="345">
        <f t="shared" si="19"/>
        <v>61.1218231431709</v>
      </c>
      <c r="AB25" s="346">
        <f t="shared" si="20"/>
        <v>-0.34335234702480338</v>
      </c>
      <c r="AD25">
        <f t="shared" si="25"/>
        <v>0</v>
      </c>
      <c r="AE25">
        <f t="shared" si="21"/>
        <v>0</v>
      </c>
    </row>
    <row r="26" spans="1:31" x14ac:dyDescent="0.2">
      <c r="A26" s="347">
        <v>3.3113000000000001</v>
      </c>
      <c r="B26" s="364">
        <f t="shared" si="22"/>
        <v>3.3113000000000001E-3</v>
      </c>
      <c r="C26" s="337">
        <f t="shared" si="0"/>
        <v>1.0000215932384489</v>
      </c>
      <c r="D26" s="338">
        <f t="shared" si="1"/>
        <v>6.5715827468665533E-3</v>
      </c>
      <c r="E26" s="338">
        <f t="shared" si="2"/>
        <v>1.0000000000124665</v>
      </c>
      <c r="F26" s="339">
        <f t="shared" si="3"/>
        <v>4.9933227560921005E-6</v>
      </c>
      <c r="G26" s="338">
        <f t="shared" si="4"/>
        <v>1</v>
      </c>
      <c r="H26" s="339">
        <f t="shared" si="5"/>
        <v>0</v>
      </c>
      <c r="I26" s="337">
        <f t="shared" si="6"/>
        <v>1.1800010732793251</v>
      </c>
      <c r="J26" s="340">
        <f t="shared" si="7"/>
        <v>0.55962008342077241</v>
      </c>
      <c r="K26" s="348">
        <f t="shared" si="8"/>
        <v>1.0000001744200286</v>
      </c>
      <c r="L26" s="349">
        <f t="shared" si="9"/>
        <v>5.9062679132657536E-4</v>
      </c>
      <c r="M26" s="337">
        <f t="shared" si="10"/>
        <v>1.0000000000320008</v>
      </c>
      <c r="N26" s="340">
        <f t="shared" si="11"/>
        <v>8.0001007998293256E-6</v>
      </c>
      <c r="O26" s="341">
        <f t="shared" si="12"/>
        <v>0.9999999999972542</v>
      </c>
      <c r="P26" s="342">
        <f t="shared" si="13"/>
        <v>4.0543393032199264E-6</v>
      </c>
      <c r="Q26" s="343">
        <f t="shared" si="14"/>
        <v>100.59332245233188</v>
      </c>
      <c r="R26" s="344">
        <f t="shared" si="15"/>
        <v>-32.406957053728355</v>
      </c>
      <c r="S26" s="346">
        <f t="shared" si="16"/>
        <v>147.59304294627165</v>
      </c>
      <c r="U26" s="319">
        <f t="shared" si="23"/>
        <v>1000000000</v>
      </c>
      <c r="V26" s="319">
        <f t="shared" si="24"/>
        <v>10.964707690000001</v>
      </c>
      <c r="X26" s="345">
        <f t="shared" si="17"/>
        <v>96.269577868899432</v>
      </c>
      <c r="Y26" s="346">
        <f t="shared" si="18"/>
        <v>-32.030486896970615</v>
      </c>
      <c r="AA26" s="345">
        <f t="shared" si="19"/>
        <v>61.121791596349205</v>
      </c>
      <c r="AB26" s="346">
        <f t="shared" si="20"/>
        <v>-0.37647015675773959</v>
      </c>
      <c r="AD26">
        <f t="shared" si="25"/>
        <v>0</v>
      </c>
      <c r="AE26">
        <f t="shared" si="21"/>
        <v>0</v>
      </c>
    </row>
    <row r="27" spans="1:31" x14ac:dyDescent="0.2">
      <c r="A27" s="347">
        <v>3.6307999999999998</v>
      </c>
      <c r="B27" s="364">
        <f t="shared" si="22"/>
        <v>3.6308E-3</v>
      </c>
      <c r="C27" s="337">
        <f t="shared" si="0"/>
        <v>1.0000259611799456</v>
      </c>
      <c r="D27" s="338">
        <f t="shared" si="1"/>
        <v>7.2056392229479117E-3</v>
      </c>
      <c r="E27" s="338">
        <f t="shared" si="2"/>
        <v>1.0000000000149885</v>
      </c>
      <c r="F27" s="339">
        <f t="shared" si="3"/>
        <v>5.4751174048828916E-6</v>
      </c>
      <c r="G27" s="338">
        <f t="shared" si="4"/>
        <v>1</v>
      </c>
      <c r="H27" s="339">
        <f t="shared" si="5"/>
        <v>0</v>
      </c>
      <c r="I27" s="337">
        <f t="shared" si="6"/>
        <v>1.2131693452362111</v>
      </c>
      <c r="J27" s="340">
        <f t="shared" si="7"/>
        <v>0.60185421046138354</v>
      </c>
      <c r="K27" s="348">
        <f t="shared" si="8"/>
        <v>1.0000002097026608</v>
      </c>
      <c r="L27" s="349">
        <f t="shared" si="9"/>
        <v>6.4761504650963754E-4</v>
      </c>
      <c r="M27" s="337">
        <f t="shared" si="10"/>
        <v>1.0000000000384741</v>
      </c>
      <c r="N27" s="340">
        <f t="shared" si="11"/>
        <v>8.7720127997750017E-6</v>
      </c>
      <c r="O27" s="341">
        <f t="shared" si="12"/>
        <v>0.99999999999669864</v>
      </c>
      <c r="P27" s="342">
        <f t="shared" si="13"/>
        <v>4.4455335192061248E-6</v>
      </c>
      <c r="Q27" s="343">
        <f t="shared" si="14"/>
        <v>100.35250430903689</v>
      </c>
      <c r="R27" s="344">
        <f t="shared" si="15"/>
        <v>-34.859896897203541</v>
      </c>
      <c r="S27" s="346">
        <f t="shared" si="16"/>
        <v>145.14010310279645</v>
      </c>
      <c r="U27" s="319">
        <f t="shared" si="23"/>
        <v>1000000000</v>
      </c>
      <c r="V27" s="319">
        <f t="shared" si="24"/>
        <v>13.182708639999998</v>
      </c>
      <c r="X27" s="345">
        <f t="shared" si="17"/>
        <v>96.028797664133435</v>
      </c>
      <c r="Y27" s="346">
        <f t="shared" si="18"/>
        <v>-34.447103171374316</v>
      </c>
      <c r="AA27" s="345">
        <f t="shared" si="19"/>
        <v>61.121753657820221</v>
      </c>
      <c r="AB27" s="346">
        <f t="shared" si="20"/>
        <v>-0.41279372582922297</v>
      </c>
      <c r="AD27">
        <f t="shared" si="25"/>
        <v>0</v>
      </c>
      <c r="AE27">
        <f t="shared" si="21"/>
        <v>0</v>
      </c>
    </row>
    <row r="28" spans="1:31" x14ac:dyDescent="0.2">
      <c r="A28" s="347">
        <v>3.9811000000000001</v>
      </c>
      <c r="B28" s="364">
        <f t="shared" si="22"/>
        <v>3.9811000000000004E-3</v>
      </c>
      <c r="C28" s="337">
        <f t="shared" si="0"/>
        <v>1.0000312122306017</v>
      </c>
      <c r="D28" s="338">
        <f t="shared" si="1"/>
        <v>7.9008124629199542E-3</v>
      </c>
      <c r="E28" s="338">
        <f t="shared" si="2"/>
        <v>1.0000000000180203</v>
      </c>
      <c r="F28" s="339">
        <f t="shared" si="3"/>
        <v>6.0033573594070806E-6</v>
      </c>
      <c r="G28" s="338">
        <f t="shared" si="4"/>
        <v>1</v>
      </c>
      <c r="H28" s="339">
        <f t="shared" si="5"/>
        <v>0</v>
      </c>
      <c r="I28" s="337">
        <f t="shared" si="6"/>
        <v>1.251881037363308</v>
      </c>
      <c r="J28" s="340">
        <f t="shared" si="7"/>
        <v>0.64550186648178254</v>
      </c>
      <c r="K28" s="348">
        <f t="shared" si="8"/>
        <v>1.000000252118928</v>
      </c>
      <c r="L28" s="349">
        <f t="shared" si="9"/>
        <v>7.1009700031780289E-4</v>
      </c>
      <c r="M28" s="337">
        <f t="shared" si="10"/>
        <v>1.0000000000462563</v>
      </c>
      <c r="N28" s="340">
        <f t="shared" si="11"/>
        <v>9.6183375997033944E-6</v>
      </c>
      <c r="O28" s="341">
        <f t="shared" si="12"/>
        <v>0.99999999999603084</v>
      </c>
      <c r="P28" s="342">
        <f t="shared" si="13"/>
        <v>4.8744391024939727E-6</v>
      </c>
      <c r="Q28" s="343">
        <f t="shared" si="14"/>
        <v>100.07962640458274</v>
      </c>
      <c r="R28" s="344">
        <f t="shared" si="15"/>
        <v>-37.397016715541056</v>
      </c>
      <c r="S28" s="346">
        <f t="shared" si="16"/>
        <v>142.60298328445896</v>
      </c>
      <c r="U28" s="319">
        <f t="shared" si="23"/>
        <v>1000000000</v>
      </c>
      <c r="V28" s="319">
        <f t="shared" si="24"/>
        <v>15.849157210000001</v>
      </c>
      <c r="X28" s="345">
        <f t="shared" si="17"/>
        <v>95.755965368389838</v>
      </c>
      <c r="Y28" s="346">
        <f t="shared" si="18"/>
        <v>-36.94439818842573</v>
      </c>
      <c r="AA28" s="345">
        <f t="shared" si="19"/>
        <v>61.121708049109678</v>
      </c>
      <c r="AB28" s="346">
        <f t="shared" si="20"/>
        <v>-0.45261852711533029</v>
      </c>
      <c r="AD28">
        <f t="shared" si="25"/>
        <v>0</v>
      </c>
      <c r="AE28">
        <f t="shared" si="21"/>
        <v>0</v>
      </c>
    </row>
    <row r="29" spans="1:31" x14ac:dyDescent="0.2">
      <c r="A29" s="347">
        <v>4.3651999999999997</v>
      </c>
      <c r="B29" s="364">
        <f t="shared" si="22"/>
        <v>4.3651999999999996E-3</v>
      </c>
      <c r="C29" s="337">
        <f t="shared" si="0"/>
        <v>1.0000375254194898</v>
      </c>
      <c r="D29" s="338">
        <f t="shared" si="1"/>
        <v>8.6630532796528638E-3</v>
      </c>
      <c r="E29" s="338">
        <f t="shared" si="2"/>
        <v>1.0000000000216651</v>
      </c>
      <c r="F29" s="339">
        <f t="shared" si="3"/>
        <v>6.5825665130793258E-6</v>
      </c>
      <c r="G29" s="338">
        <f t="shared" si="4"/>
        <v>1</v>
      </c>
      <c r="H29" s="339">
        <f t="shared" si="5"/>
        <v>0</v>
      </c>
      <c r="I29" s="337">
        <f t="shared" si="6"/>
        <v>1.2968944011725383</v>
      </c>
      <c r="J29" s="340">
        <f t="shared" si="7"/>
        <v>0.69027207257107437</v>
      </c>
      <c r="K29" s="348">
        <f t="shared" si="8"/>
        <v>1.0000003031150921</v>
      </c>
      <c r="L29" s="349">
        <f t="shared" si="9"/>
        <v>7.7860775172814008E-4</v>
      </c>
      <c r="M29" s="337">
        <f t="shared" si="10"/>
        <v>1.0000000000556124</v>
      </c>
      <c r="N29" s="340">
        <f t="shared" si="11"/>
        <v>1.0546323199608995E-5</v>
      </c>
      <c r="O29" s="341">
        <f t="shared" si="12"/>
        <v>0.99999999999522804</v>
      </c>
      <c r="P29" s="342">
        <f t="shared" si="13"/>
        <v>5.3447292382107488E-6</v>
      </c>
      <c r="Q29" s="343">
        <f t="shared" si="14"/>
        <v>99.77274092816323</v>
      </c>
      <c r="R29" s="344">
        <f t="shared" si="15"/>
        <v>-40.00195530928756</v>
      </c>
      <c r="S29" s="346">
        <f t="shared" si="16"/>
        <v>139.99804469071245</v>
      </c>
      <c r="U29" s="319">
        <f t="shared" si="23"/>
        <v>1000000000</v>
      </c>
      <c r="V29" s="319">
        <f t="shared" si="24"/>
        <v>19.054971039999998</v>
      </c>
      <c r="X29" s="345">
        <f t="shared" si="17"/>
        <v>95.449134725709058</v>
      </c>
      <c r="Y29" s="346">
        <f t="shared" si="18"/>
        <v>-39.505669840950972</v>
      </c>
      <c r="AA29" s="345">
        <f t="shared" si="19"/>
        <v>61.121653215370941</v>
      </c>
      <c r="AB29" s="346">
        <f t="shared" si="20"/>
        <v>-0.49628546833659004</v>
      </c>
      <c r="AD29">
        <f t="shared" si="25"/>
        <v>0</v>
      </c>
      <c r="AE29">
        <f t="shared" si="21"/>
        <v>0</v>
      </c>
    </row>
    <row r="30" spans="1:31" x14ac:dyDescent="0.2">
      <c r="A30" s="347">
        <v>4.7862999999999998</v>
      </c>
      <c r="B30" s="364">
        <f t="shared" si="22"/>
        <v>4.7862999999999994E-3</v>
      </c>
      <c r="C30" s="337">
        <f t="shared" si="0"/>
        <v>1.0000451144271651</v>
      </c>
      <c r="D30" s="338">
        <f t="shared" si="1"/>
        <v>9.4987084529969176E-3</v>
      </c>
      <c r="E30" s="338">
        <f t="shared" si="2"/>
        <v>1.0000000000260467</v>
      </c>
      <c r="F30" s="339">
        <f t="shared" si="3"/>
        <v>7.217570352208272E-6</v>
      </c>
      <c r="G30" s="338">
        <f t="shared" si="4"/>
        <v>1</v>
      </c>
      <c r="H30" s="339">
        <f t="shared" si="5"/>
        <v>0</v>
      </c>
      <c r="I30" s="337">
        <f t="shared" si="6"/>
        <v>1.3490182841228928</v>
      </c>
      <c r="J30" s="340">
        <f t="shared" si="7"/>
        <v>0.73582122981642861</v>
      </c>
      <c r="K30" s="348">
        <f t="shared" si="8"/>
        <v>1.0000003644173843</v>
      </c>
      <c r="L30" s="349">
        <f t="shared" si="9"/>
        <v>8.5371807243539075E-4</v>
      </c>
      <c r="M30" s="337">
        <f t="shared" si="10"/>
        <v>1.0000000000668596</v>
      </c>
      <c r="N30" s="340">
        <f t="shared" si="11"/>
        <v>1.1563700799484569E-5</v>
      </c>
      <c r="O30" s="341">
        <f t="shared" si="12"/>
        <v>0.99999999999426303</v>
      </c>
      <c r="P30" s="342">
        <f t="shared" si="13"/>
        <v>5.8603219904924005E-6</v>
      </c>
      <c r="Q30" s="343">
        <f t="shared" si="14"/>
        <v>99.430411133527286</v>
      </c>
      <c r="R30" s="344">
        <f t="shared" si="15"/>
        <v>-42.655357242733878</v>
      </c>
      <c r="S30" s="346">
        <f t="shared" si="16"/>
        <v>137.34464275726612</v>
      </c>
      <c r="U30" s="319">
        <f t="shared" si="23"/>
        <v>1000000000</v>
      </c>
      <c r="V30" s="319">
        <f t="shared" si="24"/>
        <v>22.908667689999998</v>
      </c>
      <c r="X30" s="345">
        <f t="shared" si="17"/>
        <v>95.106870845586229</v>
      </c>
      <c r="Y30" s="346">
        <f t="shared" si="18"/>
        <v>-42.111199101532996</v>
      </c>
      <c r="AA30" s="345">
        <f t="shared" si="19"/>
        <v>61.121587300857826</v>
      </c>
      <c r="AB30" s="346">
        <f t="shared" si="20"/>
        <v>-0.54415814120087658</v>
      </c>
      <c r="AD30">
        <f t="shared" si="25"/>
        <v>0</v>
      </c>
      <c r="AE30">
        <f t="shared" si="21"/>
        <v>0</v>
      </c>
    </row>
    <row r="31" spans="1:31" x14ac:dyDescent="0.2">
      <c r="A31" s="347">
        <v>5.2481</v>
      </c>
      <c r="B31" s="364">
        <f t="shared" si="22"/>
        <v>5.2481000000000003E-3</v>
      </c>
      <c r="C31" s="337">
        <f t="shared" si="0"/>
        <v>1.0000542397696945</v>
      </c>
      <c r="D31" s="338">
        <f t="shared" si="1"/>
        <v>1.0415115763229977E-2</v>
      </c>
      <c r="E31" s="338">
        <f t="shared" si="2"/>
        <v>1.0000000000313154</v>
      </c>
      <c r="F31" s="339">
        <f t="shared" si="3"/>
        <v>7.9139483453379823E-6</v>
      </c>
      <c r="G31" s="338">
        <f t="shared" si="4"/>
        <v>1</v>
      </c>
      <c r="H31" s="339">
        <f t="shared" si="5"/>
        <v>0</v>
      </c>
      <c r="I31" s="337">
        <f t="shared" si="6"/>
        <v>1.4091440007983902</v>
      </c>
      <c r="J31" s="340">
        <f t="shared" si="7"/>
        <v>0.78179404293499566</v>
      </c>
      <c r="K31" s="348">
        <f t="shared" si="8"/>
        <v>1.0000004381304539</v>
      </c>
      <c r="L31" s="349">
        <f t="shared" si="9"/>
        <v>9.3608791671485859E-4</v>
      </c>
      <c r="M31" s="337">
        <f t="shared" si="10"/>
        <v>1.0000000000803837</v>
      </c>
      <c r="N31" s="340">
        <f t="shared" si="11"/>
        <v>1.2679409599320521E-5</v>
      </c>
      <c r="O31" s="341">
        <f t="shared" si="12"/>
        <v>0.99999999999310263</v>
      </c>
      <c r="P31" s="342">
        <f t="shared" si="13"/>
        <v>6.4257476209962739E-6</v>
      </c>
      <c r="Q31" s="343">
        <f t="shared" si="14"/>
        <v>99.051581714796157</v>
      </c>
      <c r="R31" s="344">
        <f t="shared" si="15"/>
        <v>-45.337248658978567</v>
      </c>
      <c r="S31" s="346">
        <f t="shared" si="16"/>
        <v>134.66275134102142</v>
      </c>
      <c r="U31" s="319">
        <f t="shared" si="23"/>
        <v>1000000000</v>
      </c>
      <c r="V31" s="319">
        <f t="shared" si="24"/>
        <v>27.542553609999999</v>
      </c>
      <c r="X31" s="345">
        <f t="shared" si="17"/>
        <v>94.728120684580091</v>
      </c>
      <c r="Y31" s="346">
        <f t="shared" si="18"/>
        <v>-44.740591749544109</v>
      </c>
      <c r="AA31" s="345">
        <f t="shared" si="19"/>
        <v>61.121508043132849</v>
      </c>
      <c r="AB31" s="346">
        <f t="shared" si="20"/>
        <v>-0.59665690943445959</v>
      </c>
      <c r="AD31">
        <f t="shared" si="25"/>
        <v>0</v>
      </c>
      <c r="AE31">
        <f t="shared" si="21"/>
        <v>0</v>
      </c>
    </row>
    <row r="32" spans="1:31" x14ac:dyDescent="0.2">
      <c r="A32" s="347">
        <v>5.7544000000000004</v>
      </c>
      <c r="B32" s="364">
        <f t="shared" si="22"/>
        <v>5.7544000000000007E-3</v>
      </c>
      <c r="C32" s="337">
        <f t="shared" si="0"/>
        <v>1.0000652095714349</v>
      </c>
      <c r="D32" s="338">
        <f t="shared" si="1"/>
        <v>1.1419809810889562E-2</v>
      </c>
      <c r="E32" s="338">
        <f t="shared" si="2"/>
        <v>1.000000000037649</v>
      </c>
      <c r="F32" s="339">
        <f t="shared" si="3"/>
        <v>8.6774307574590044E-6</v>
      </c>
      <c r="G32" s="338">
        <f t="shared" si="4"/>
        <v>1</v>
      </c>
      <c r="H32" s="339">
        <f t="shared" si="5"/>
        <v>0</v>
      </c>
      <c r="I32" s="337">
        <f t="shared" si="6"/>
        <v>1.4781897677890043</v>
      </c>
      <c r="J32" s="340">
        <f t="shared" si="7"/>
        <v>0.82779246067299783</v>
      </c>
      <c r="K32" s="348">
        <f t="shared" si="8"/>
        <v>1.0000005267436556</v>
      </c>
      <c r="L32" s="349">
        <f t="shared" si="9"/>
        <v>1.0263950743558152E-3</v>
      </c>
      <c r="M32" s="337">
        <f t="shared" si="10"/>
        <v>1.0000000000966416</v>
      </c>
      <c r="N32" s="340">
        <f t="shared" si="11"/>
        <v>1.3902630399104285E-5</v>
      </c>
      <c r="O32" s="341">
        <f t="shared" si="12"/>
        <v>0.99999999999170752</v>
      </c>
      <c r="P32" s="342">
        <f t="shared" si="13"/>
        <v>7.045658830884322E-6</v>
      </c>
      <c r="Q32" s="343">
        <f t="shared" si="14"/>
        <v>98.635990894248877</v>
      </c>
      <c r="R32" s="344">
        <f t="shared" si="15"/>
        <v>-48.025216231722702</v>
      </c>
      <c r="S32" s="346">
        <f t="shared" si="16"/>
        <v>131.97478376827729</v>
      </c>
      <c r="U32" s="319">
        <f t="shared" si="23"/>
        <v>1000000000</v>
      </c>
      <c r="V32" s="319">
        <f t="shared" si="24"/>
        <v>33.113119360000006</v>
      </c>
      <c r="X32" s="345">
        <f t="shared" si="17"/>
        <v>94.312625140762535</v>
      </c>
      <c r="Y32" s="346">
        <f t="shared" si="18"/>
        <v>-47.371002819613608</v>
      </c>
      <c r="AA32" s="345">
        <f t="shared" si="19"/>
        <v>61.121412766403083</v>
      </c>
      <c r="AB32" s="346">
        <f t="shared" si="20"/>
        <v>-0.65421341210908979</v>
      </c>
      <c r="AD32">
        <f t="shared" si="25"/>
        <v>0</v>
      </c>
      <c r="AE32">
        <f t="shared" si="21"/>
        <v>0</v>
      </c>
    </row>
    <row r="33" spans="1:31" x14ac:dyDescent="0.2">
      <c r="A33" s="347">
        <v>6.3095999999999997</v>
      </c>
      <c r="B33" s="364">
        <f t="shared" si="22"/>
        <v>6.3095999999999994E-3</v>
      </c>
      <c r="C33" s="337">
        <f t="shared" si="0"/>
        <v>1.000078399274364</v>
      </c>
      <c r="D33" s="338">
        <f t="shared" si="1"/>
        <v>1.2521513699875945E-2</v>
      </c>
      <c r="E33" s="338">
        <f t="shared" si="2"/>
        <v>1.0000000000452642</v>
      </c>
      <c r="F33" s="339">
        <f t="shared" si="3"/>
        <v>9.5146526322440851E-6</v>
      </c>
      <c r="G33" s="338">
        <f t="shared" si="4"/>
        <v>1</v>
      </c>
      <c r="H33" s="339">
        <f t="shared" si="5"/>
        <v>0</v>
      </c>
      <c r="I33" s="337">
        <f t="shared" si="6"/>
        <v>1.5571605976163767</v>
      </c>
      <c r="J33" s="340">
        <f t="shared" si="7"/>
        <v>0.8734386004858572</v>
      </c>
      <c r="K33" s="348">
        <f t="shared" si="8"/>
        <v>1.0000006332903222</v>
      </c>
      <c r="L33" s="349">
        <f t="shared" si="9"/>
        <v>1.1254243537376747E-3</v>
      </c>
      <c r="M33" s="337">
        <f t="shared" si="10"/>
        <v>1.0000000001161897</v>
      </c>
      <c r="N33" s="340">
        <f t="shared" si="11"/>
        <v>1.5243993598819203E-5</v>
      </c>
      <c r="O33" s="341">
        <f t="shared" si="12"/>
        <v>0.9999999999900302</v>
      </c>
      <c r="P33" s="342">
        <f t="shared" si="13"/>
        <v>7.7254429583443409E-6</v>
      </c>
      <c r="Q33" s="343">
        <f t="shared" si="14"/>
        <v>98.1838129818006</v>
      </c>
      <c r="R33" s="344">
        <f t="shared" si="15"/>
        <v>-50.698064254404741</v>
      </c>
      <c r="S33" s="346">
        <f t="shared" si="16"/>
        <v>129.30193574559524</v>
      </c>
      <c r="U33" s="319">
        <f t="shared" si="23"/>
        <v>1000000000</v>
      </c>
      <c r="V33" s="319">
        <f t="shared" si="24"/>
        <v>39.811052159999996</v>
      </c>
      <c r="X33" s="345">
        <f t="shared" si="17"/>
        <v>93.860561784311955</v>
      </c>
      <c r="Y33" s="346">
        <f t="shared" si="18"/>
        <v>-49.980736879629923</v>
      </c>
      <c r="AA33" s="345">
        <f t="shared" si="19"/>
        <v>61.121298210405428</v>
      </c>
      <c r="AB33" s="346">
        <f t="shared" si="20"/>
        <v>-0.71732737477481934</v>
      </c>
      <c r="AD33">
        <f t="shared" si="25"/>
        <v>0</v>
      </c>
      <c r="AE33">
        <f t="shared" si="21"/>
        <v>0</v>
      </c>
    </row>
    <row r="34" spans="1:31" x14ac:dyDescent="0.2">
      <c r="A34" s="347">
        <v>6.9183000000000003</v>
      </c>
      <c r="B34" s="364">
        <f t="shared" si="22"/>
        <v>6.9183000000000005E-3</v>
      </c>
      <c r="C34" s="337">
        <f t="shared" si="0"/>
        <v>1.0000942548541123</v>
      </c>
      <c r="D34" s="338">
        <f t="shared" si="1"/>
        <v>1.3729344586909883E-2</v>
      </c>
      <c r="E34" s="338">
        <f t="shared" si="2"/>
        <v>1.0000000000544191</v>
      </c>
      <c r="F34" s="339">
        <f t="shared" si="3"/>
        <v>1.0432550606259115E-5</v>
      </c>
      <c r="G34" s="338">
        <f t="shared" si="4"/>
        <v>1</v>
      </c>
      <c r="H34" s="339">
        <f t="shared" si="5"/>
        <v>0</v>
      </c>
      <c r="I34" s="337">
        <f t="shared" si="6"/>
        <v>1.6470901545505892</v>
      </c>
      <c r="J34" s="340">
        <f t="shared" si="7"/>
        <v>0.91835096401005389</v>
      </c>
      <c r="K34" s="348">
        <f t="shared" si="8"/>
        <v>1.0000007613738366</v>
      </c>
      <c r="L34" s="349">
        <f t="shared" si="9"/>
        <v>1.2339962345668354E-3</v>
      </c>
      <c r="M34" s="337">
        <f t="shared" si="10"/>
        <v>1.0000000001396891</v>
      </c>
      <c r="N34" s="340">
        <f t="shared" si="11"/>
        <v>1.6714612798443435E-5</v>
      </c>
      <c r="O34" s="341">
        <f t="shared" si="12"/>
        <v>0.99999999998801381</v>
      </c>
      <c r="P34" s="342">
        <f t="shared" si="13"/>
        <v>8.470732220573247E-6</v>
      </c>
      <c r="Q34" s="343">
        <f t="shared" si="14"/>
        <v>97.695997078057175</v>
      </c>
      <c r="R34" s="344">
        <f t="shared" si="15"/>
        <v>-53.334410407480966</v>
      </c>
      <c r="S34" s="346">
        <f t="shared" si="16"/>
        <v>126.66558959251904</v>
      </c>
      <c r="U34" s="319">
        <f t="shared" si="23"/>
        <v>1000000000</v>
      </c>
      <c r="V34" s="319">
        <f t="shared" si="24"/>
        <v>47.862874890000008</v>
      </c>
      <c r="X34" s="345">
        <f t="shared" si="17"/>
        <v>93.372883588399404</v>
      </c>
      <c r="Y34" s="346">
        <f t="shared" si="18"/>
        <v>-52.547889310185184</v>
      </c>
      <c r="AA34" s="345">
        <f t="shared" si="19"/>
        <v>61.12116050257454</v>
      </c>
      <c r="AB34" s="346">
        <f t="shared" si="20"/>
        <v>-0.78652109729577935</v>
      </c>
      <c r="AD34">
        <f t="shared" si="25"/>
        <v>0</v>
      </c>
      <c r="AE34">
        <f t="shared" si="21"/>
        <v>0</v>
      </c>
    </row>
    <row r="35" spans="1:31" x14ac:dyDescent="0.2">
      <c r="A35" s="347">
        <v>7.5857999999999999</v>
      </c>
      <c r="B35" s="364">
        <f t="shared" si="22"/>
        <v>7.5858000000000002E-3</v>
      </c>
      <c r="C35" s="337">
        <f t="shared" si="0"/>
        <v>1.000113319221333</v>
      </c>
      <c r="D35" s="338">
        <f t="shared" si="1"/>
        <v>1.5053804922971502E-2</v>
      </c>
      <c r="E35" s="338">
        <f t="shared" si="2"/>
        <v>1.0000000000654268</v>
      </c>
      <c r="F35" s="339">
        <f t="shared" si="3"/>
        <v>1.1439116891198652E-5</v>
      </c>
      <c r="G35" s="338">
        <f t="shared" si="4"/>
        <v>1</v>
      </c>
      <c r="H35" s="339">
        <f t="shared" si="5"/>
        <v>0</v>
      </c>
      <c r="I35" s="337">
        <f t="shared" si="6"/>
        <v>1.7491097401424829</v>
      </c>
      <c r="J35" s="340">
        <f t="shared" si="7"/>
        <v>0.96219629675861296</v>
      </c>
      <c r="K35" s="348">
        <f t="shared" si="8"/>
        <v>1.0000009153810363</v>
      </c>
      <c r="L35" s="349">
        <f t="shared" si="9"/>
        <v>1.3530560506317567E-3</v>
      </c>
      <c r="M35" s="337">
        <f t="shared" si="10"/>
        <v>1.0000000001679448</v>
      </c>
      <c r="N35" s="340">
        <f t="shared" si="11"/>
        <v>1.8327292797948016E-5</v>
      </c>
      <c r="O35" s="341">
        <f t="shared" si="12"/>
        <v>0.99999999998558919</v>
      </c>
      <c r="P35" s="342">
        <f t="shared" si="13"/>
        <v>9.2880159112984068E-6</v>
      </c>
      <c r="Q35" s="343">
        <f t="shared" si="14"/>
        <v>97.173839101697141</v>
      </c>
      <c r="R35" s="344">
        <f t="shared" si="15"/>
        <v>-55.915708845352277</v>
      </c>
      <c r="S35" s="346">
        <f t="shared" si="16"/>
        <v>124.08429115464773</v>
      </c>
      <c r="U35" s="319">
        <f t="shared" si="23"/>
        <v>1000000000</v>
      </c>
      <c r="V35" s="319">
        <f t="shared" si="24"/>
        <v>57.544361639999998</v>
      </c>
      <c r="X35" s="345">
        <f t="shared" si="17"/>
        <v>92.850891185727988</v>
      </c>
      <c r="Y35" s="346">
        <f t="shared" si="18"/>
        <v>-55.053312605674776</v>
      </c>
      <c r="AA35" s="345">
        <f t="shared" si="19"/>
        <v>61.120994928885921</v>
      </c>
      <c r="AB35" s="346">
        <f t="shared" si="20"/>
        <v>-0.86239623967750501</v>
      </c>
      <c r="AD35">
        <f t="shared" si="25"/>
        <v>0</v>
      </c>
      <c r="AE35">
        <f t="shared" si="21"/>
        <v>0</v>
      </c>
    </row>
    <row r="36" spans="1:31" x14ac:dyDescent="0.2">
      <c r="A36" s="347">
        <v>8.3176000000000005</v>
      </c>
      <c r="B36" s="364">
        <f t="shared" si="22"/>
        <v>8.3176000000000014E-3</v>
      </c>
      <c r="C36" s="337">
        <f t="shared" si="0"/>
        <v>1.0001362360021973</v>
      </c>
      <c r="D36" s="338">
        <f t="shared" si="1"/>
        <v>1.6505789113015576E-2</v>
      </c>
      <c r="E36" s="338">
        <f t="shared" si="2"/>
        <v>1.0000000000786589</v>
      </c>
      <c r="F36" s="339">
        <f t="shared" si="3"/>
        <v>1.2542645291649475E-5</v>
      </c>
      <c r="G36" s="338">
        <f t="shared" si="4"/>
        <v>1</v>
      </c>
      <c r="H36" s="339">
        <f t="shared" si="5"/>
        <v>0</v>
      </c>
      <c r="I36" s="337">
        <f t="shared" si="6"/>
        <v>1.86437306395611</v>
      </c>
      <c r="J36" s="340">
        <f t="shared" si="7"/>
        <v>1.0046622070582736</v>
      </c>
      <c r="K36" s="348">
        <f t="shared" si="8"/>
        <v>1.0000011005129468</v>
      </c>
      <c r="L36" s="349">
        <f t="shared" si="9"/>
        <v>1.4835848055222529E-3</v>
      </c>
      <c r="M36" s="337">
        <f t="shared" si="10"/>
        <v>1.0000000002019109</v>
      </c>
      <c r="N36" s="340">
        <f t="shared" si="11"/>
        <v>2.0095321597295025E-5</v>
      </c>
      <c r="O36" s="341">
        <f t="shared" si="12"/>
        <v>0.99999999998267475</v>
      </c>
      <c r="P36" s="342">
        <f t="shared" si="13"/>
        <v>1.0184028203256799E-5</v>
      </c>
      <c r="Q36" s="343">
        <f t="shared" si="14"/>
        <v>96.619326451787316</v>
      </c>
      <c r="R36" s="344">
        <f t="shared" si="15"/>
        <v>-58.42462951161081</v>
      </c>
      <c r="S36" s="346">
        <f t="shared" si="16"/>
        <v>121.57537048838918</v>
      </c>
      <c r="U36" s="319">
        <f t="shared" si="23"/>
        <v>1000000000</v>
      </c>
      <c r="V36" s="319">
        <f t="shared" si="24"/>
        <v>69.182469760000004</v>
      </c>
      <c r="X36" s="345">
        <f t="shared" si="17"/>
        <v>92.29657756347315</v>
      </c>
      <c r="Y36" s="346">
        <f t="shared" si="18"/>
        <v>-57.4790525956262</v>
      </c>
      <c r="AA36" s="345">
        <f t="shared" si="19"/>
        <v>61.12079590123092</v>
      </c>
      <c r="AB36" s="346">
        <f t="shared" si="20"/>
        <v>-0.9455769159846017</v>
      </c>
      <c r="AD36">
        <f t="shared" si="25"/>
        <v>0</v>
      </c>
      <c r="AE36">
        <f t="shared" si="21"/>
        <v>0</v>
      </c>
    </row>
    <row r="37" spans="1:31" x14ac:dyDescent="0.2">
      <c r="A37" s="347">
        <v>9.1201000000000008</v>
      </c>
      <c r="B37" s="364">
        <f t="shared" si="22"/>
        <v>9.1201000000000008E-3</v>
      </c>
      <c r="C37" s="337">
        <f t="shared" si="0"/>
        <v>1.0001637906274545</v>
      </c>
      <c r="D37" s="338">
        <f t="shared" si="1"/>
        <v>1.809797084964276E-2</v>
      </c>
      <c r="E37" s="338">
        <f t="shared" si="2"/>
        <v>1.0000000000945697</v>
      </c>
      <c r="F37" s="339">
        <f t="shared" si="3"/>
        <v>1.375278678022014E-5</v>
      </c>
      <c r="G37" s="338">
        <f t="shared" si="4"/>
        <v>1</v>
      </c>
      <c r="H37" s="339">
        <f t="shared" si="5"/>
        <v>0</v>
      </c>
      <c r="I37" s="337">
        <f t="shared" si="6"/>
        <v>1.9941645625870825</v>
      </c>
      <c r="J37" s="340">
        <f t="shared" si="7"/>
        <v>1.0455072505197631</v>
      </c>
      <c r="K37" s="348">
        <f t="shared" si="8"/>
        <v>1.0000013231169909</v>
      </c>
      <c r="L37" s="349">
        <f t="shared" si="9"/>
        <v>1.6267240281921942E-3</v>
      </c>
      <c r="M37" s="337">
        <f t="shared" si="10"/>
        <v>1.000000000242752</v>
      </c>
      <c r="N37" s="340">
        <f t="shared" si="11"/>
        <v>2.2034161596434106E-5</v>
      </c>
      <c r="O37" s="341">
        <f t="shared" si="12"/>
        <v>0.99999999997917022</v>
      </c>
      <c r="P37" s="342">
        <f t="shared" si="13"/>
        <v>1.1166605224724991E-5</v>
      </c>
      <c r="Q37" s="343">
        <f t="shared" si="14"/>
        <v>96.034525592229613</v>
      </c>
      <c r="R37" s="344">
        <f t="shared" si="15"/>
        <v>-60.848000188002025</v>
      </c>
      <c r="S37" s="346">
        <f t="shared" si="16"/>
        <v>119.15199981199797</v>
      </c>
      <c r="U37" s="319">
        <f t="shared" si="23"/>
        <v>1000000000</v>
      </c>
      <c r="V37" s="319">
        <f t="shared" si="24"/>
        <v>83.176224010000013</v>
      </c>
      <c r="X37" s="345">
        <f t="shared" si="17"/>
        <v>91.71201600428256</v>
      </c>
      <c r="Y37" s="346">
        <f t="shared" si="18"/>
        <v>-59.811211016670192</v>
      </c>
      <c r="AA37" s="345">
        <f t="shared" si="19"/>
        <v>61.120556600863807</v>
      </c>
      <c r="AB37" s="346">
        <f t="shared" si="20"/>
        <v>-1.0367891713318427</v>
      </c>
      <c r="AD37">
        <f t="shared" si="25"/>
        <v>0</v>
      </c>
      <c r="AE37">
        <f t="shared" si="21"/>
        <v>0</v>
      </c>
    </row>
    <row r="38" spans="1:31" x14ac:dyDescent="0.2">
      <c r="A38" s="347">
        <v>10</v>
      </c>
      <c r="B38" s="364">
        <f t="shared" si="22"/>
        <v>0.01</v>
      </c>
      <c r="C38" s="337">
        <f t="shared" si="0"/>
        <v>1.0001969167472999</v>
      </c>
      <c r="D38" s="338">
        <f t="shared" si="1"/>
        <v>1.9843610519483305E-2</v>
      </c>
      <c r="E38" s="338">
        <f t="shared" si="2"/>
        <v>1.0000000001136979</v>
      </c>
      <c r="F38" s="339">
        <f t="shared" si="3"/>
        <v>1.5079644718856987E-5</v>
      </c>
      <c r="G38" s="338">
        <f t="shared" si="4"/>
        <v>1</v>
      </c>
      <c r="H38" s="339">
        <f t="shared" si="5"/>
        <v>0</v>
      </c>
      <c r="I38" s="337">
        <f t="shared" si="6"/>
        <v>2.1398079062520114</v>
      </c>
      <c r="J38" s="340">
        <f t="shared" si="7"/>
        <v>1.0845261587527171</v>
      </c>
      <c r="K38" s="348">
        <f t="shared" si="8"/>
        <v>1.0000015907392161</v>
      </c>
      <c r="L38" s="349">
        <f t="shared" si="9"/>
        <v>1.7836687513962132E-3</v>
      </c>
      <c r="M38" s="337">
        <f t="shared" si="10"/>
        <v>1.0000000002918528</v>
      </c>
      <c r="N38" s="340">
        <f t="shared" si="11"/>
        <v>2.4159999995299224E-5</v>
      </c>
      <c r="O38" s="341">
        <f t="shared" si="12"/>
        <v>0.99999999997495714</v>
      </c>
      <c r="P38" s="342">
        <f t="shared" si="13"/>
        <v>1.2243950422494244E-5</v>
      </c>
      <c r="Q38" s="343">
        <f t="shared" si="14"/>
        <v>95.421964368571523</v>
      </c>
      <c r="R38" s="344">
        <f t="shared" si="15"/>
        <v>-63.17475197453448</v>
      </c>
      <c r="S38" s="346">
        <f t="shared" si="16"/>
        <v>116.82524802546553</v>
      </c>
      <c r="U38" s="319">
        <f t="shared" si="23"/>
        <v>1000000000</v>
      </c>
      <c r="V38" s="319">
        <f t="shared" si="24"/>
        <v>100</v>
      </c>
      <c r="X38" s="345">
        <f t="shared" si="17"/>
        <v>91.099742458359088</v>
      </c>
      <c r="Y38" s="346">
        <f t="shared" si="18"/>
        <v>-62.037959313482894</v>
      </c>
      <c r="AA38" s="345">
        <f t="shared" si="19"/>
        <v>61.120268923129188</v>
      </c>
      <c r="AB38" s="346">
        <f t="shared" si="20"/>
        <v>-1.1367926610516004</v>
      </c>
      <c r="AD38">
        <f t="shared" si="25"/>
        <v>0</v>
      </c>
      <c r="AE38">
        <f t="shared" si="21"/>
        <v>0</v>
      </c>
    </row>
    <row r="39" spans="1:31" x14ac:dyDescent="0.2">
      <c r="A39" s="347">
        <v>10.965</v>
      </c>
      <c r="B39" s="364">
        <f t="shared" si="22"/>
        <v>1.0964999999999999E-2</v>
      </c>
      <c r="C39" s="337">
        <f t="shared" si="0"/>
        <v>1.0002367507026149</v>
      </c>
      <c r="D39" s="338">
        <f t="shared" si="1"/>
        <v>2.1757941215566311E-2</v>
      </c>
      <c r="E39" s="338">
        <f t="shared" si="2"/>
        <v>1.0000000001367004</v>
      </c>
      <c r="F39" s="339">
        <f t="shared" si="3"/>
        <v>1.6534830433973124E-5</v>
      </c>
      <c r="G39" s="338">
        <f t="shared" si="4"/>
        <v>1</v>
      </c>
      <c r="H39" s="339">
        <f t="shared" si="5"/>
        <v>0</v>
      </c>
      <c r="I39" s="337">
        <f t="shared" si="6"/>
        <v>2.3027827687242519</v>
      </c>
      <c r="J39" s="340">
        <f t="shared" si="7"/>
        <v>1.1215828233073071</v>
      </c>
      <c r="K39" s="348">
        <f t="shared" si="8"/>
        <v>1.0000019125649382</v>
      </c>
      <c r="L39" s="349">
        <f t="shared" si="9"/>
        <v>1.9557923662902482E-3</v>
      </c>
      <c r="M39" s="337">
        <f t="shared" si="10"/>
        <v>1.0000000003508982</v>
      </c>
      <c r="N39" s="340">
        <f t="shared" si="11"/>
        <v>2.64914399938028E-5</v>
      </c>
      <c r="O39" s="341">
        <f t="shared" si="12"/>
        <v>0.99999999996989064</v>
      </c>
      <c r="P39" s="342">
        <f t="shared" si="13"/>
        <v>1.3425491638400822E-5</v>
      </c>
      <c r="Q39" s="343">
        <f t="shared" si="14"/>
        <v>94.784057580936036</v>
      </c>
      <c r="R39" s="344">
        <f t="shared" si="15"/>
        <v>-65.397881474671976</v>
      </c>
      <c r="S39" s="346">
        <f t="shared" si="16"/>
        <v>114.60211852532802</v>
      </c>
      <c r="U39" s="319">
        <f t="shared" si="23"/>
        <v>1000000000</v>
      </c>
      <c r="V39" s="319">
        <f t="shared" si="24"/>
        <v>120.23122499999999</v>
      </c>
      <c r="X39" s="345">
        <f t="shared" si="17"/>
        <v>90.462181588812811</v>
      </c>
      <c r="Y39" s="346">
        <f t="shared" si="18"/>
        <v>-64.151421422692053</v>
      </c>
      <c r="AA39" s="345">
        <f t="shared" si="19"/>
        <v>61.119923005039993</v>
      </c>
      <c r="AB39" s="346">
        <f t="shared" si="20"/>
        <v>-1.2464600519799194</v>
      </c>
      <c r="AD39">
        <f t="shared" si="25"/>
        <v>0</v>
      </c>
      <c r="AE39">
        <f t="shared" si="21"/>
        <v>0</v>
      </c>
    </row>
    <row r="40" spans="1:31" x14ac:dyDescent="0.2">
      <c r="A40" s="347">
        <v>12.023</v>
      </c>
      <c r="B40" s="364">
        <f t="shared" si="22"/>
        <v>1.2022999999999999E-2</v>
      </c>
      <c r="C40" s="337">
        <f t="shared" si="0"/>
        <v>1.0002846356555113</v>
      </c>
      <c r="D40" s="338">
        <f t="shared" si="1"/>
        <v>2.385657801776387E-2</v>
      </c>
      <c r="E40" s="338">
        <f t="shared" si="2"/>
        <v>1.000000000164353</v>
      </c>
      <c r="F40" s="339">
        <f t="shared" si="3"/>
        <v>1.8130256844869494E-5</v>
      </c>
      <c r="G40" s="338">
        <f t="shared" si="4"/>
        <v>1</v>
      </c>
      <c r="H40" s="339">
        <f t="shared" si="5"/>
        <v>0</v>
      </c>
      <c r="I40" s="337">
        <f t="shared" si="6"/>
        <v>2.4845953245059857</v>
      </c>
      <c r="J40" s="340">
        <f t="shared" si="7"/>
        <v>1.1565719434733597</v>
      </c>
      <c r="K40" s="348">
        <f t="shared" si="8"/>
        <v>1.0000022994529518</v>
      </c>
      <c r="L40" s="349">
        <f t="shared" si="9"/>
        <v>2.1445039265786136E-3</v>
      </c>
      <c r="M40" s="337">
        <f t="shared" si="10"/>
        <v>1.0000000004218805</v>
      </c>
      <c r="N40" s="340">
        <f t="shared" si="11"/>
        <v>2.9047567991830261E-5</v>
      </c>
      <c r="O40" s="341">
        <f t="shared" si="12"/>
        <v>0.99999999996380007</v>
      </c>
      <c r="P40" s="342">
        <f t="shared" si="13"/>
        <v>1.4720901593292943E-5</v>
      </c>
      <c r="Q40" s="343">
        <f t="shared" si="14"/>
        <v>94.123591274447875</v>
      </c>
      <c r="R40" s="344">
        <f t="shared" si="15"/>
        <v>-67.512170312695162</v>
      </c>
      <c r="S40" s="346">
        <f t="shared" si="16"/>
        <v>112.48782968730484</v>
      </c>
      <c r="U40" s="319">
        <f t="shared" si="23"/>
        <v>1000000000</v>
      </c>
      <c r="V40" s="319">
        <f t="shared" si="24"/>
        <v>144.55252899999999</v>
      </c>
      <c r="X40" s="345">
        <f t="shared" si="17"/>
        <v>89.802131097047692</v>
      </c>
      <c r="Y40" s="346">
        <f t="shared" si="18"/>
        <v>-66.145484418757817</v>
      </c>
      <c r="AA40" s="345">
        <f t="shared" si="19"/>
        <v>61.119507190316959</v>
      </c>
      <c r="AB40" s="346">
        <f t="shared" si="20"/>
        <v>-1.3666858939373352</v>
      </c>
      <c r="AD40">
        <f t="shared" si="25"/>
        <v>0</v>
      </c>
      <c r="AE40">
        <f t="shared" si="21"/>
        <v>0</v>
      </c>
    </row>
    <row r="41" spans="1:31" x14ac:dyDescent="0.2">
      <c r="A41" s="347">
        <v>13.183</v>
      </c>
      <c r="B41" s="364">
        <f t="shared" si="22"/>
        <v>1.3183E-2</v>
      </c>
      <c r="C41" s="337">
        <f t="shared" si="0"/>
        <v>1.000342199691781</v>
      </c>
      <c r="D41" s="338">
        <f t="shared" si="1"/>
        <v>2.6157298652973417E-2</v>
      </c>
      <c r="E41" s="338">
        <f t="shared" si="2"/>
        <v>1.000000000197597</v>
      </c>
      <c r="F41" s="339">
        <f t="shared" si="3"/>
        <v>1.9879495631757248E-5</v>
      </c>
      <c r="G41" s="338">
        <f t="shared" si="4"/>
        <v>1</v>
      </c>
      <c r="H41" s="339">
        <f t="shared" si="5"/>
        <v>0</v>
      </c>
      <c r="I41" s="337">
        <f t="shared" si="6"/>
        <v>2.6869334487682566</v>
      </c>
      <c r="J41" s="340">
        <f t="shared" si="7"/>
        <v>1.1894488561470662</v>
      </c>
      <c r="K41" s="348">
        <f t="shared" si="8"/>
        <v>1.0000027645677472</v>
      </c>
      <c r="L41" s="349">
        <f t="shared" si="9"/>
        <v>2.3514086748674524E-3</v>
      </c>
      <c r="M41" s="337">
        <f t="shared" si="10"/>
        <v>1.0000000005072154</v>
      </c>
      <c r="N41" s="340">
        <f t="shared" si="11"/>
        <v>3.1850127989230083E-5</v>
      </c>
      <c r="O41" s="341">
        <f t="shared" si="12"/>
        <v>0.9999999999564777</v>
      </c>
      <c r="P41" s="342">
        <f t="shared" si="13"/>
        <v>1.6141199842570044E-5</v>
      </c>
      <c r="Q41" s="343">
        <f t="shared" si="14"/>
        <v>93.443070553339425</v>
      </c>
      <c r="R41" s="344">
        <f t="shared" si="15"/>
        <v>-69.515987195961571</v>
      </c>
      <c r="S41" s="346">
        <f t="shared" si="16"/>
        <v>110.48401280403843</v>
      </c>
      <c r="U41" s="319">
        <f t="shared" si="23"/>
        <v>1000000000</v>
      </c>
      <c r="V41" s="319">
        <f t="shared" si="24"/>
        <v>173.79148899999998</v>
      </c>
      <c r="X41" s="345">
        <f t="shared" si="17"/>
        <v>89.12211021379504</v>
      </c>
      <c r="Y41" s="346">
        <f t="shared" si="18"/>
        <v>-68.017498566541974</v>
      </c>
      <c r="AA41" s="345">
        <f t="shared" si="19"/>
        <v>61.119007352461153</v>
      </c>
      <c r="AB41" s="346">
        <f t="shared" si="20"/>
        <v>-1.4984886294195909</v>
      </c>
      <c r="AD41">
        <f t="shared" si="25"/>
        <v>0</v>
      </c>
      <c r="AE41">
        <f t="shared" si="21"/>
        <v>0</v>
      </c>
    </row>
    <row r="42" spans="1:31" x14ac:dyDescent="0.2">
      <c r="A42" s="347">
        <v>14.454000000000001</v>
      </c>
      <c r="B42" s="364">
        <f t="shared" si="22"/>
        <v>1.4454E-2</v>
      </c>
      <c r="C42" s="337">
        <f t="shared" si="0"/>
        <v>1.0004113506591241</v>
      </c>
      <c r="D42" s="338">
        <f t="shared" si="1"/>
        <v>2.8677855596226143E-2</v>
      </c>
      <c r="E42" s="338">
        <f t="shared" si="2"/>
        <v>1.0000000002375353</v>
      </c>
      <c r="F42" s="339">
        <f t="shared" si="3"/>
        <v>2.1796118474836437E-5</v>
      </c>
      <c r="G42" s="338">
        <f t="shared" si="4"/>
        <v>1</v>
      </c>
      <c r="H42" s="339">
        <f t="shared" si="5"/>
        <v>0</v>
      </c>
      <c r="I42" s="337">
        <f t="shared" si="6"/>
        <v>2.9114799181259703</v>
      </c>
      <c r="J42" s="340">
        <f t="shared" si="7"/>
        <v>1.220189334102757</v>
      </c>
      <c r="K42" s="348">
        <f t="shared" si="8"/>
        <v>1.0000033233395216</v>
      </c>
      <c r="L42" s="349">
        <f t="shared" si="9"/>
        <v>2.5781118353801632E-3</v>
      </c>
      <c r="M42" s="337">
        <f t="shared" si="10"/>
        <v>1.0000000006097334</v>
      </c>
      <c r="N42" s="340">
        <f t="shared" si="11"/>
        <v>3.4920863985805057E-5</v>
      </c>
      <c r="O42" s="341">
        <f t="shared" si="12"/>
        <v>0.99999999994768096</v>
      </c>
      <c r="P42" s="342">
        <f t="shared" si="13"/>
        <v>1.7697405941637513E-5</v>
      </c>
      <c r="Q42" s="343">
        <f t="shared" si="14"/>
        <v>92.74533721162453</v>
      </c>
      <c r="R42" s="344">
        <f t="shared" si="15"/>
        <v>-71.408870275625958</v>
      </c>
      <c r="S42" s="346">
        <f t="shared" si="16"/>
        <v>108.59112972437404</v>
      </c>
      <c r="U42" s="319">
        <f t="shared" si="23"/>
        <v>1000000000</v>
      </c>
      <c r="V42" s="319">
        <f t="shared" si="24"/>
        <v>208.91811600000003</v>
      </c>
      <c r="X42" s="345">
        <f t="shared" si="17"/>
        <v>88.424977283107665</v>
      </c>
      <c r="Y42" s="346">
        <f t="shared" si="18"/>
        <v>-69.765985021528877</v>
      </c>
      <c r="AA42" s="345">
        <f t="shared" si="19"/>
        <v>61.118406941433641</v>
      </c>
      <c r="AB42" s="346">
        <f t="shared" si="20"/>
        <v>-1.6428852540970675</v>
      </c>
      <c r="AD42">
        <f t="shared" si="25"/>
        <v>0</v>
      </c>
      <c r="AE42">
        <f t="shared" si="21"/>
        <v>0</v>
      </c>
    </row>
    <row r="43" spans="1:31" x14ac:dyDescent="0.2">
      <c r="A43" s="347">
        <v>15.849</v>
      </c>
      <c r="B43" s="364">
        <f t="shared" si="22"/>
        <v>1.5848999999999999E-2</v>
      </c>
      <c r="C43" s="337">
        <f t="shared" si="0"/>
        <v>1.0004945631596172</v>
      </c>
      <c r="D43" s="338">
        <f t="shared" si="1"/>
        <v>3.1443899832402915E-2</v>
      </c>
      <c r="E43" s="338">
        <f t="shared" si="2"/>
        <v>1.0000000002855987</v>
      </c>
      <c r="F43" s="339">
        <f t="shared" si="3"/>
        <v>2.389972891217752E-5</v>
      </c>
      <c r="G43" s="338">
        <f t="shared" si="4"/>
        <v>1</v>
      </c>
      <c r="H43" s="339">
        <f t="shared" si="5"/>
        <v>0</v>
      </c>
      <c r="I43" s="337">
        <f t="shared" si="6"/>
        <v>3.1606266486058843</v>
      </c>
      <c r="J43" s="340">
        <f t="shared" si="7"/>
        <v>1.2488716445358281</v>
      </c>
      <c r="K43" s="348">
        <f t="shared" si="8"/>
        <v>1.0000039957857736</v>
      </c>
      <c r="L43" s="349">
        <f t="shared" si="9"/>
        <v>2.8269320714913444E-3</v>
      </c>
      <c r="M43" s="337">
        <f t="shared" si="10"/>
        <v>1.0000000007331074</v>
      </c>
      <c r="N43" s="340">
        <f t="shared" si="11"/>
        <v>3.8291183981285634E-5</v>
      </c>
      <c r="O43" s="341">
        <f t="shared" si="12"/>
        <v>0.99999999993709465</v>
      </c>
      <c r="P43" s="342">
        <f t="shared" si="13"/>
        <v>1.9405437026078925E-5</v>
      </c>
      <c r="Q43" s="343">
        <f t="shared" si="14"/>
        <v>92.031432632658181</v>
      </c>
      <c r="R43" s="344">
        <f t="shared" si="15"/>
        <v>-73.196642363544584</v>
      </c>
      <c r="S43" s="346">
        <f t="shared" si="16"/>
        <v>106.80335763645542</v>
      </c>
      <c r="U43" s="319">
        <f t="shared" si="23"/>
        <v>1000000000</v>
      </c>
      <c r="V43" s="319">
        <f t="shared" si="24"/>
        <v>251.19080099999999</v>
      </c>
      <c r="X43" s="345">
        <f t="shared" si="17"/>
        <v>87.711795150990568</v>
      </c>
      <c r="Y43" s="346">
        <f t="shared" si="18"/>
        <v>-71.395297113614404</v>
      </c>
      <c r="AA43" s="345">
        <f t="shared" si="19"/>
        <v>61.117684494584381</v>
      </c>
      <c r="AB43" s="346">
        <f t="shared" si="20"/>
        <v>-1.8013452499301674</v>
      </c>
      <c r="AD43">
        <f t="shared" si="25"/>
        <v>0</v>
      </c>
      <c r="AE43">
        <f t="shared" si="21"/>
        <v>0</v>
      </c>
    </row>
    <row r="44" spans="1:31" x14ac:dyDescent="0.2">
      <c r="A44" s="347">
        <v>17.378</v>
      </c>
      <c r="B44" s="364">
        <f t="shared" si="22"/>
        <v>1.7378000000000001E-2</v>
      </c>
      <c r="C44" s="337">
        <f t="shared" si="0"/>
        <v>1.0005945603026869</v>
      </c>
      <c r="D44" s="338">
        <f t="shared" si="1"/>
        <v>3.4475088603462822E-2</v>
      </c>
      <c r="E44" s="338">
        <f t="shared" si="2"/>
        <v>1.0000000003433616</v>
      </c>
      <c r="F44" s="339">
        <f t="shared" si="3"/>
        <v>2.6205406588417381E-5</v>
      </c>
      <c r="G44" s="338">
        <f t="shared" si="4"/>
        <v>1</v>
      </c>
      <c r="H44" s="339">
        <f t="shared" si="5"/>
        <v>0</v>
      </c>
      <c r="I44" s="337">
        <f t="shared" si="6"/>
        <v>3.4362371999343853</v>
      </c>
      <c r="J44" s="340">
        <f t="shared" si="7"/>
        <v>1.2755076981117945</v>
      </c>
      <c r="K44" s="348">
        <f t="shared" si="8"/>
        <v>1.0000048039433322</v>
      </c>
      <c r="L44" s="349">
        <f t="shared" si="9"/>
        <v>3.0996529163064565E-3</v>
      </c>
      <c r="M44" s="337">
        <f t="shared" si="10"/>
        <v>1.0000000008813805</v>
      </c>
      <c r="N44" s="340">
        <f t="shared" si="11"/>
        <v>4.1985247975330013E-5</v>
      </c>
      <c r="O44" s="341">
        <f t="shared" si="12"/>
        <v>0.99999999992437194</v>
      </c>
      <c r="P44" s="342">
        <f t="shared" si="13"/>
        <v>2.1277537046360704E-5</v>
      </c>
      <c r="Q44" s="343">
        <f t="shared" si="14"/>
        <v>91.304372808311243</v>
      </c>
      <c r="R44" s="344">
        <f t="shared" si="15"/>
        <v>-74.881011200458829</v>
      </c>
      <c r="S44" s="346">
        <f t="shared" si="16"/>
        <v>105.11898879954117</v>
      </c>
      <c r="U44" s="319">
        <f t="shared" si="23"/>
        <v>1000000000</v>
      </c>
      <c r="V44" s="319">
        <f t="shared" si="24"/>
        <v>301.99488400000001</v>
      </c>
      <c r="X44" s="345">
        <f t="shared" si="17"/>
        <v>86.985603417451586</v>
      </c>
      <c r="Y44" s="346">
        <f t="shared" si="18"/>
        <v>-72.906016469010837</v>
      </c>
      <c r="AA44" s="345">
        <f t="shared" si="19"/>
        <v>61.116816403776426</v>
      </c>
      <c r="AB44" s="346">
        <f t="shared" si="20"/>
        <v>-1.9749947314479923</v>
      </c>
      <c r="AD44">
        <f t="shared" si="25"/>
        <v>0</v>
      </c>
      <c r="AE44">
        <f t="shared" si="21"/>
        <v>0</v>
      </c>
    </row>
    <row r="45" spans="1:31" x14ac:dyDescent="0.2">
      <c r="A45" s="347">
        <v>19.055</v>
      </c>
      <c r="B45" s="364">
        <f t="shared" si="22"/>
        <v>1.9054999999999999E-2</v>
      </c>
      <c r="C45" s="337">
        <f t="shared" si="0"/>
        <v>1.0007148058976163</v>
      </c>
      <c r="D45" s="338">
        <f t="shared" si="1"/>
        <v>3.7798951509618726E-2</v>
      </c>
      <c r="E45" s="338">
        <f t="shared" si="2"/>
        <v>1.0000000004128289</v>
      </c>
      <c r="F45" s="339">
        <f t="shared" si="3"/>
        <v>2.8734263006051778E-5</v>
      </c>
      <c r="G45" s="338">
        <f t="shared" si="4"/>
        <v>1</v>
      </c>
      <c r="H45" s="339">
        <f t="shared" si="5"/>
        <v>0</v>
      </c>
      <c r="I45" s="337">
        <f t="shared" si="6"/>
        <v>3.7408946586023526</v>
      </c>
      <c r="J45" s="340">
        <f t="shared" si="7"/>
        <v>1.3001900146719174</v>
      </c>
      <c r="K45" s="348">
        <f t="shared" si="8"/>
        <v>1.0000057758510532</v>
      </c>
      <c r="L45" s="349">
        <f t="shared" si="9"/>
        <v>3.3987713229724722E-3</v>
      </c>
      <c r="M45" s="337">
        <f t="shared" si="10"/>
        <v>1.000000001059697</v>
      </c>
      <c r="N45" s="340">
        <f t="shared" si="11"/>
        <v>4.6036879967476562E-5</v>
      </c>
      <c r="O45" s="341">
        <f t="shared" si="12"/>
        <v>0.99999999990907118</v>
      </c>
      <c r="P45" s="342">
        <f t="shared" si="13"/>
        <v>2.3330847533133629E-5</v>
      </c>
      <c r="Q45" s="343">
        <f t="shared" si="14"/>
        <v>90.565490616788992</v>
      </c>
      <c r="R45" s="344">
        <f t="shared" si="15"/>
        <v>-76.468713758338609</v>
      </c>
      <c r="S45" s="346">
        <f t="shared" si="16"/>
        <v>103.53128624166139</v>
      </c>
      <c r="U45" s="319">
        <f t="shared" si="23"/>
        <v>1000000000</v>
      </c>
      <c r="V45" s="319">
        <f t="shared" si="24"/>
        <v>363.09302500000001</v>
      </c>
      <c r="X45" s="345">
        <f t="shared" si="17"/>
        <v>86.247764981831494</v>
      </c>
      <c r="Y45" s="346">
        <f t="shared" si="18"/>
        <v>-74.303302957245023</v>
      </c>
      <c r="AA45" s="345">
        <f t="shared" si="19"/>
        <v>61.115772647874273</v>
      </c>
      <c r="AB45" s="346">
        <f t="shared" si="20"/>
        <v>-2.1654108010935937</v>
      </c>
      <c r="AD45">
        <f t="shared" si="25"/>
        <v>0</v>
      </c>
      <c r="AE45">
        <f t="shared" si="21"/>
        <v>0</v>
      </c>
    </row>
    <row r="46" spans="1:31" x14ac:dyDescent="0.2">
      <c r="A46" s="347">
        <v>20.893000000000001</v>
      </c>
      <c r="B46" s="364">
        <f t="shared" si="22"/>
        <v>2.0893000000000002E-2</v>
      </c>
      <c r="C46" s="337">
        <f t="shared" si="0"/>
        <v>1.000859291403561</v>
      </c>
      <c r="D46" s="338">
        <f t="shared" si="1"/>
        <v>4.1440958876849794E-2</v>
      </c>
      <c r="E46" s="338">
        <f t="shared" si="2"/>
        <v>1.0000000004963108</v>
      </c>
      <c r="F46" s="339">
        <f t="shared" si="3"/>
        <v>3.1505901703071521E-5</v>
      </c>
      <c r="G46" s="338">
        <f t="shared" si="4"/>
        <v>1</v>
      </c>
      <c r="H46" s="339">
        <f t="shared" si="5"/>
        <v>0</v>
      </c>
      <c r="I46" s="337">
        <f t="shared" si="6"/>
        <v>4.0770074672731944</v>
      </c>
      <c r="J46" s="340">
        <f t="shared" si="7"/>
        <v>1.3229899450521307</v>
      </c>
      <c r="K46" s="348">
        <f t="shared" si="8"/>
        <v>1.0000069438356607</v>
      </c>
      <c r="L46" s="349">
        <f t="shared" si="9"/>
        <v>3.7266058230564078E-3</v>
      </c>
      <c r="M46" s="337">
        <f t="shared" si="10"/>
        <v>1.0000000012739882</v>
      </c>
      <c r="N46" s="340">
        <f t="shared" si="11"/>
        <v>5.0477487957128179E-5</v>
      </c>
      <c r="O46" s="341">
        <f t="shared" si="12"/>
        <v>0.99999999989068367</v>
      </c>
      <c r="P46" s="342">
        <f t="shared" si="13"/>
        <v>2.5581285622023962E-5</v>
      </c>
      <c r="Q46" s="343">
        <f t="shared" si="14"/>
        <v>89.816926202621005</v>
      </c>
      <c r="R46" s="344">
        <f t="shared" si="15"/>
        <v>-77.965166227392345</v>
      </c>
      <c r="S46" s="346">
        <f t="shared" si="16"/>
        <v>102.03483377260766</v>
      </c>
      <c r="U46" s="319">
        <f t="shared" si="23"/>
        <v>1000000000</v>
      </c>
      <c r="V46" s="319">
        <f t="shared" si="24"/>
        <v>436.51744900000006</v>
      </c>
      <c r="X46" s="345">
        <f t="shared" si="17"/>
        <v>85.500454564982192</v>
      </c>
      <c r="Y46" s="346">
        <f t="shared" si="18"/>
        <v>-75.591113637557569</v>
      </c>
      <c r="AA46" s="345">
        <f t="shared" si="19"/>
        <v>61.114518650555574</v>
      </c>
      <c r="AB46" s="346">
        <f t="shared" si="20"/>
        <v>-2.3740525898347684</v>
      </c>
      <c r="AD46">
        <f t="shared" si="25"/>
        <v>0</v>
      </c>
      <c r="AE46">
        <f t="shared" si="21"/>
        <v>0</v>
      </c>
    </row>
    <row r="47" spans="1:31" x14ac:dyDescent="0.2">
      <c r="A47" s="347">
        <v>22.909000000000002</v>
      </c>
      <c r="B47" s="364">
        <f t="shared" si="22"/>
        <v>2.2909000000000002E-2</v>
      </c>
      <c r="C47" s="337">
        <f t="shared" si="0"/>
        <v>1.0010330311412645</v>
      </c>
      <c r="D47" s="338">
        <f t="shared" si="1"/>
        <v>4.5434406126676923E-2</v>
      </c>
      <c r="E47" s="338">
        <f t="shared" si="2"/>
        <v>1.0000000005967116</v>
      </c>
      <c r="F47" s="339">
        <f t="shared" si="3"/>
        <v>3.4545958075305359E-5</v>
      </c>
      <c r="G47" s="338">
        <f t="shared" si="4"/>
        <v>1</v>
      </c>
      <c r="H47" s="339">
        <f t="shared" si="5"/>
        <v>0</v>
      </c>
      <c r="I47" s="337">
        <f t="shared" si="6"/>
        <v>4.447721178193941</v>
      </c>
      <c r="J47" s="340">
        <f t="shared" si="7"/>
        <v>1.3440234119169996</v>
      </c>
      <c r="K47" s="348">
        <f t="shared" si="8"/>
        <v>1.0000083485256297</v>
      </c>
      <c r="L47" s="349">
        <f t="shared" si="9"/>
        <v>4.0861883335405373E-3</v>
      </c>
      <c r="M47" s="337">
        <f t="shared" si="10"/>
        <v>1.0000000015317085</v>
      </c>
      <c r="N47" s="340">
        <f t="shared" si="11"/>
        <v>5.5348143943481848E-5</v>
      </c>
      <c r="O47" s="341">
        <f t="shared" si="12"/>
        <v>0.99999999986856958</v>
      </c>
      <c r="P47" s="342">
        <f t="shared" si="13"/>
        <v>2.8049666028853531E-5</v>
      </c>
      <c r="Q47" s="343">
        <f t="shared" si="14"/>
        <v>89.05950980087519</v>
      </c>
      <c r="R47" s="344">
        <f t="shared" si="15"/>
        <v>-79.378746535190018</v>
      </c>
      <c r="S47" s="346">
        <f t="shared" si="16"/>
        <v>100.62125346480998</v>
      </c>
      <c r="U47" s="319">
        <f t="shared" si="23"/>
        <v>1000000000</v>
      </c>
      <c r="V47" s="319">
        <f t="shared" si="24"/>
        <v>524.82228100000009</v>
      </c>
      <c r="X47" s="345">
        <f t="shared" si="17"/>
        <v>84.744545819876137</v>
      </c>
      <c r="Y47" s="346">
        <f t="shared" si="18"/>
        <v>-76.775919026590685</v>
      </c>
      <c r="AA47" s="345">
        <f t="shared" si="19"/>
        <v>61.113010993915822</v>
      </c>
      <c r="AB47" s="346">
        <f t="shared" si="20"/>
        <v>-2.6028275085993355</v>
      </c>
      <c r="AD47">
        <f t="shared" si="25"/>
        <v>0</v>
      </c>
      <c r="AE47">
        <f t="shared" si="21"/>
        <v>0</v>
      </c>
    </row>
    <row r="48" spans="1:31" x14ac:dyDescent="0.2">
      <c r="A48" s="347">
        <v>25.119</v>
      </c>
      <c r="B48" s="364">
        <f t="shared" si="22"/>
        <v>2.5118999999999999E-2</v>
      </c>
      <c r="C48" s="337">
        <f t="shared" si="0"/>
        <v>1.0012418253693258</v>
      </c>
      <c r="D48" s="338">
        <f t="shared" si="1"/>
        <v>4.9810473218655768E-2</v>
      </c>
      <c r="E48" s="338">
        <f t="shared" si="2"/>
        <v>1.0000000007173926</v>
      </c>
      <c r="F48" s="339">
        <f t="shared" si="3"/>
        <v>3.787855955405214E-5</v>
      </c>
      <c r="G48" s="338">
        <f t="shared" si="4"/>
        <v>1</v>
      </c>
      <c r="H48" s="339">
        <f t="shared" si="5"/>
        <v>0</v>
      </c>
      <c r="I48" s="337">
        <f t="shared" si="6"/>
        <v>4.8560071866918619</v>
      </c>
      <c r="J48" s="340">
        <f t="shared" si="7"/>
        <v>1.3633818313901309</v>
      </c>
      <c r="K48" s="348">
        <f t="shared" si="8"/>
        <v>1.0000100369519613</v>
      </c>
      <c r="L48" s="349">
        <f t="shared" si="9"/>
        <v>4.4803723085502165E-3</v>
      </c>
      <c r="M48" s="337">
        <f t="shared" si="10"/>
        <v>1.0000000018414865</v>
      </c>
      <c r="N48" s="340">
        <f t="shared" si="11"/>
        <v>6.0687503925496516E-5</v>
      </c>
      <c r="O48" s="341">
        <f t="shared" si="12"/>
        <v>0.99999999984198862</v>
      </c>
      <c r="P48" s="342">
        <f t="shared" si="13"/>
        <v>3.0755579074433003E-5</v>
      </c>
      <c r="Q48" s="343">
        <f t="shared" si="14"/>
        <v>88.294877627044656</v>
      </c>
      <c r="R48" s="344">
        <f t="shared" si="15"/>
        <v>-80.716317383879399</v>
      </c>
      <c r="S48" s="346">
        <f t="shared" si="16"/>
        <v>99.283682616120601</v>
      </c>
      <c r="U48" s="319">
        <f t="shared" si="23"/>
        <v>1000000000</v>
      </c>
      <c r="V48" s="319">
        <f t="shared" si="24"/>
        <v>630.96416099999999</v>
      </c>
      <c r="X48" s="345">
        <f t="shared" si="17"/>
        <v>83.981725147940153</v>
      </c>
      <c r="Y48" s="346">
        <f t="shared" si="18"/>
        <v>-77.862795606359427</v>
      </c>
      <c r="AA48" s="345">
        <f t="shared" si="19"/>
        <v>61.111199492021242</v>
      </c>
      <c r="AB48" s="346">
        <f t="shared" si="20"/>
        <v>-2.8535217775199806</v>
      </c>
      <c r="AD48">
        <f t="shared" si="25"/>
        <v>0</v>
      </c>
      <c r="AE48">
        <f t="shared" si="21"/>
        <v>0</v>
      </c>
    </row>
    <row r="49" spans="1:31" x14ac:dyDescent="0.2">
      <c r="A49" s="347">
        <v>27.542000000000002</v>
      </c>
      <c r="B49" s="364">
        <f t="shared" si="22"/>
        <v>2.7542000000000001E-2</v>
      </c>
      <c r="C49" s="337">
        <f t="shared" si="0"/>
        <v>1.0014927680444472</v>
      </c>
      <c r="D49" s="338">
        <f t="shared" si="1"/>
        <v>5.4606106675638477E-2</v>
      </c>
      <c r="E49" s="338">
        <f t="shared" si="2"/>
        <v>1.0000000008624683</v>
      </c>
      <c r="F49" s="339">
        <f t="shared" si="3"/>
        <v>4.1532357463943775E-5</v>
      </c>
      <c r="G49" s="338">
        <f t="shared" si="4"/>
        <v>1</v>
      </c>
      <c r="H49" s="339">
        <f t="shared" si="5"/>
        <v>0</v>
      </c>
      <c r="I49" s="337">
        <f t="shared" si="6"/>
        <v>5.3053973068223401</v>
      </c>
      <c r="J49" s="340">
        <f t="shared" si="7"/>
        <v>1.3811747203402538</v>
      </c>
      <c r="K49" s="348">
        <f t="shared" si="8"/>
        <v>1.0000120666762531</v>
      </c>
      <c r="L49" s="349">
        <f t="shared" si="9"/>
        <v>4.9125461661312349E-3</v>
      </c>
      <c r="M49" s="337">
        <f t="shared" si="10"/>
        <v>1.0000000022138837</v>
      </c>
      <c r="N49" s="340">
        <f t="shared" si="11"/>
        <v>6.6541471901789941E-5</v>
      </c>
      <c r="O49" s="341">
        <f t="shared" si="12"/>
        <v>0.99999999981003462</v>
      </c>
      <c r="P49" s="342">
        <f t="shared" si="13"/>
        <v>3.3722288264744093E-5</v>
      </c>
      <c r="Q49" s="343">
        <f t="shared" si="14"/>
        <v>87.523946735175656</v>
      </c>
      <c r="R49" s="344">
        <f t="shared" si="15"/>
        <v>-81.98607868701356</v>
      </c>
      <c r="S49" s="346">
        <f t="shared" si="16"/>
        <v>98.01392131298644</v>
      </c>
      <c r="U49" s="319">
        <f t="shared" si="23"/>
        <v>1000000000</v>
      </c>
      <c r="V49" s="319">
        <f t="shared" si="24"/>
        <v>758.56176400000004</v>
      </c>
      <c r="X49" s="345">
        <f t="shared" si="17"/>
        <v>83.212970938753358</v>
      </c>
      <c r="Y49" s="346">
        <f t="shared" si="18"/>
        <v>-78.857826719286592</v>
      </c>
      <c r="AA49" s="345">
        <f t="shared" si="19"/>
        <v>61.109022809339073</v>
      </c>
      <c r="AB49" s="346">
        <f t="shared" si="20"/>
        <v>-3.1282519677269645</v>
      </c>
      <c r="AD49">
        <f t="shared" si="25"/>
        <v>0</v>
      </c>
      <c r="AE49">
        <f t="shared" si="21"/>
        <v>0</v>
      </c>
    </row>
    <row r="50" spans="1:31" x14ac:dyDescent="0.2">
      <c r="A50" s="347">
        <v>30.2</v>
      </c>
      <c r="B50" s="364">
        <f t="shared" si="22"/>
        <v>3.0199999999999998E-2</v>
      </c>
      <c r="C50" s="337">
        <f t="shared" si="0"/>
        <v>1.0017945261672447</v>
      </c>
      <c r="D50" s="338">
        <f t="shared" si="1"/>
        <v>5.9863956882987464E-2</v>
      </c>
      <c r="E50" s="338">
        <f t="shared" si="2"/>
        <v>1.0000000010369698</v>
      </c>
      <c r="F50" s="339">
        <f t="shared" si="3"/>
        <v>4.5540527022917238E-5</v>
      </c>
      <c r="G50" s="338">
        <f t="shared" si="4"/>
        <v>1</v>
      </c>
      <c r="H50" s="339">
        <f t="shared" si="5"/>
        <v>0</v>
      </c>
      <c r="I50" s="337">
        <f t="shared" si="6"/>
        <v>5.7999901497465363</v>
      </c>
      <c r="J50" s="340">
        <f t="shared" si="7"/>
        <v>1.3975163931114607</v>
      </c>
      <c r="K50" s="348">
        <f t="shared" si="8"/>
        <v>1.0000145080842433</v>
      </c>
      <c r="L50" s="349">
        <f t="shared" si="9"/>
        <v>5.3866332419572355E-3</v>
      </c>
      <c r="M50" s="337">
        <f t="shared" si="10"/>
        <v>1.0000000026618143</v>
      </c>
      <c r="N50" s="340">
        <f t="shared" si="11"/>
        <v>7.2963199870523682E-5</v>
      </c>
      <c r="O50" s="341">
        <f t="shared" si="12"/>
        <v>0.99999999977159937</v>
      </c>
      <c r="P50" s="342">
        <f t="shared" si="13"/>
        <v>3.6976730290954479E-5</v>
      </c>
      <c r="Q50" s="343">
        <f t="shared" si="14"/>
        <v>86.747164333876441</v>
      </c>
      <c r="R50" s="344">
        <f t="shared" si="15"/>
        <v>-83.19680175850084</v>
      </c>
      <c r="S50" s="346">
        <f t="shared" si="16"/>
        <v>96.80319824149916</v>
      </c>
      <c r="U50" s="319">
        <f t="shared" si="23"/>
        <v>1000000000</v>
      </c>
      <c r="V50" s="319">
        <f t="shared" si="24"/>
        <v>912.04</v>
      </c>
      <c r="X50" s="345">
        <f t="shared" si="17"/>
        <v>82.43880527238457</v>
      </c>
      <c r="Y50" s="346">
        <f t="shared" si="18"/>
        <v>-79.767340349643135</v>
      </c>
      <c r="AA50" s="345">
        <f t="shared" si="19"/>
        <v>61.106406074408625</v>
      </c>
      <c r="AB50" s="346">
        <f t="shared" si="20"/>
        <v>-3.4294614088576982</v>
      </c>
      <c r="AD50">
        <f t="shared" si="25"/>
        <v>0</v>
      </c>
      <c r="AE50">
        <f t="shared" si="21"/>
        <v>0</v>
      </c>
    </row>
    <row r="51" spans="1:31" x14ac:dyDescent="0.2">
      <c r="A51" s="347">
        <v>33.113</v>
      </c>
      <c r="B51" s="364">
        <f t="shared" si="22"/>
        <v>3.3112999999999997E-2</v>
      </c>
      <c r="C51" s="337">
        <f t="shared" si="0"/>
        <v>1.0021570207889474</v>
      </c>
      <c r="D51" s="338">
        <f t="shared" si="1"/>
        <v>6.5622414312255906E-2</v>
      </c>
      <c r="E51" s="338">
        <f t="shared" si="2"/>
        <v>1.0000000012466637</v>
      </c>
      <c r="F51" s="339">
        <f t="shared" si="3"/>
        <v>4.9933227519836045E-5</v>
      </c>
      <c r="G51" s="338">
        <f t="shared" si="4"/>
        <v>1</v>
      </c>
      <c r="H51" s="339">
        <f t="shared" si="5"/>
        <v>0</v>
      </c>
      <c r="I51" s="337">
        <f t="shared" si="6"/>
        <v>6.3435205756768767</v>
      </c>
      <c r="J51" s="340">
        <f t="shared" si="7"/>
        <v>1.4124948297651374</v>
      </c>
      <c r="K51" s="348">
        <f t="shared" si="8"/>
        <v>1.0000174418522787</v>
      </c>
      <c r="L51" s="349">
        <f t="shared" si="9"/>
        <v>5.9061999233755609E-3</v>
      </c>
      <c r="M51" s="337">
        <f t="shared" si="10"/>
        <v>1.0000000032000806</v>
      </c>
      <c r="N51" s="340">
        <f t="shared" si="11"/>
        <v>8.0001007829326877E-5</v>
      </c>
      <c r="O51" s="341">
        <f t="shared" si="12"/>
        <v>0.99999999972541254</v>
      </c>
      <c r="P51" s="342">
        <f t="shared" si="13"/>
        <v>4.0543393054216881E-5</v>
      </c>
      <c r="Q51" s="343">
        <f t="shared" si="14"/>
        <v>85.965985496128468</v>
      </c>
      <c r="R51" s="344">
        <f t="shared" si="15"/>
        <v>-84.355525201183738</v>
      </c>
      <c r="S51" s="346">
        <f t="shared" si="16"/>
        <v>95.644474798816262</v>
      </c>
      <c r="U51" s="319">
        <f t="shared" si="23"/>
        <v>1000000000</v>
      </c>
      <c r="V51" s="319">
        <f t="shared" si="24"/>
        <v>1096.470769</v>
      </c>
      <c r="X51" s="345">
        <f t="shared" si="17"/>
        <v>81.660768812096464</v>
      </c>
      <c r="Y51" s="346">
        <f t="shared" si="18"/>
        <v>-80.596175813222118</v>
      </c>
      <c r="AA51" s="345">
        <f t="shared" si="19"/>
        <v>61.103263696948758</v>
      </c>
      <c r="AB51" s="346">
        <f t="shared" si="20"/>
        <v>-3.7593493879616284</v>
      </c>
      <c r="AD51">
        <f t="shared" si="25"/>
        <v>0</v>
      </c>
      <c r="AE51">
        <f t="shared" si="21"/>
        <v>0</v>
      </c>
    </row>
    <row r="52" spans="1:31" x14ac:dyDescent="0.2">
      <c r="A52" s="347">
        <v>36.308</v>
      </c>
      <c r="B52" s="364">
        <f t="shared" si="22"/>
        <v>3.6308E-2</v>
      </c>
      <c r="C52" s="337">
        <f t="shared" si="0"/>
        <v>1.0025927904126399</v>
      </c>
      <c r="D52" s="338">
        <f t="shared" si="1"/>
        <v>7.1933311399230843E-2</v>
      </c>
      <c r="E52" s="338">
        <f t="shared" si="2"/>
        <v>1.0000000014988455</v>
      </c>
      <c r="F52" s="339">
        <f t="shared" si="3"/>
        <v>5.4751173994666966E-5</v>
      </c>
      <c r="G52" s="338">
        <f t="shared" si="4"/>
        <v>1</v>
      </c>
      <c r="H52" s="339">
        <f t="shared" si="5"/>
        <v>0</v>
      </c>
      <c r="I52" s="337">
        <f t="shared" si="6"/>
        <v>6.9410363795391321</v>
      </c>
      <c r="J52" s="340">
        <f t="shared" si="7"/>
        <v>1.4262225114852911</v>
      </c>
      <c r="K52" s="348">
        <f t="shared" si="8"/>
        <v>1.0000209700484151</v>
      </c>
      <c r="L52" s="349">
        <f t="shared" si="9"/>
        <v>6.476060834997477E-3</v>
      </c>
      <c r="M52" s="337">
        <f t="shared" si="10"/>
        <v>1.0000000038474104</v>
      </c>
      <c r="N52" s="340">
        <f t="shared" si="11"/>
        <v>8.772012777500311E-5</v>
      </c>
      <c r="O52" s="341">
        <f t="shared" si="12"/>
        <v>0.99999999966986752</v>
      </c>
      <c r="P52" s="342">
        <f t="shared" si="13"/>
        <v>4.4455335221086885E-5</v>
      </c>
      <c r="Q52" s="343">
        <f t="shared" si="14"/>
        <v>85.180360703570585</v>
      </c>
      <c r="R52" s="344">
        <f t="shared" si="15"/>
        <v>-85.471390933173524</v>
      </c>
      <c r="S52" s="346">
        <f t="shared" si="16"/>
        <v>94.528609066826476</v>
      </c>
      <c r="U52" s="319">
        <f t="shared" si="23"/>
        <v>1000000000</v>
      </c>
      <c r="V52" s="319">
        <f t="shared" si="24"/>
        <v>1318.2708640000001</v>
      </c>
      <c r="X52" s="345">
        <f t="shared" si="17"/>
        <v>80.87892009595295</v>
      </c>
      <c r="Y52" s="346">
        <f t="shared" si="18"/>
        <v>-81.350505686996797</v>
      </c>
      <c r="AA52" s="345">
        <f t="shared" si="19"/>
        <v>61.09948762053439</v>
      </c>
      <c r="AB52" s="346">
        <f t="shared" si="20"/>
        <v>-4.120885246176746</v>
      </c>
      <c r="AD52">
        <f t="shared" si="25"/>
        <v>0</v>
      </c>
      <c r="AE52">
        <f t="shared" si="21"/>
        <v>0</v>
      </c>
    </row>
    <row r="53" spans="1:31" x14ac:dyDescent="0.2">
      <c r="A53" s="347">
        <v>39.811</v>
      </c>
      <c r="B53" s="364">
        <f t="shared" si="22"/>
        <v>3.9810999999999999E-2</v>
      </c>
      <c r="C53" s="337">
        <f t="shared" si="0"/>
        <v>1.0031164157467747</v>
      </c>
      <c r="D53" s="338">
        <f t="shared" si="1"/>
        <v>7.8845974393069923E-2</v>
      </c>
      <c r="E53" s="338">
        <f t="shared" si="2"/>
        <v>1.000000001802015</v>
      </c>
      <c r="F53" s="339">
        <f t="shared" si="3"/>
        <v>6.0033573522671079E-5</v>
      </c>
      <c r="G53" s="338">
        <f t="shared" si="4"/>
        <v>1</v>
      </c>
      <c r="H53" s="339">
        <f t="shared" si="5"/>
        <v>0</v>
      </c>
      <c r="I53" s="337">
        <f t="shared" si="6"/>
        <v>7.5974083193535975</v>
      </c>
      <c r="J53" s="340">
        <f t="shared" si="7"/>
        <v>1.4387894402077253</v>
      </c>
      <c r="K53" s="348">
        <f t="shared" si="8"/>
        <v>1.0000252115781563</v>
      </c>
      <c r="L53" s="349">
        <f t="shared" si="9"/>
        <v>7.1008518476833897E-3</v>
      </c>
      <c r="M53" s="337">
        <f t="shared" si="10"/>
        <v>1.0000000046256208</v>
      </c>
      <c r="N53" s="340">
        <f t="shared" si="11"/>
        <v>9.6183375703394784E-5</v>
      </c>
      <c r="O53" s="341">
        <f t="shared" si="12"/>
        <v>0.99999999960309205</v>
      </c>
      <c r="P53" s="342">
        <f t="shared" si="13"/>
        <v>4.8744391063203168E-5</v>
      </c>
      <c r="Q53" s="343">
        <f t="shared" si="14"/>
        <v>84.391039387821749</v>
      </c>
      <c r="R53" s="344">
        <f t="shared" si="15"/>
        <v>-86.552119432270771</v>
      </c>
      <c r="S53" s="346">
        <f t="shared" si="16"/>
        <v>93.447880567729229</v>
      </c>
      <c r="U53" s="319">
        <f t="shared" si="23"/>
        <v>1000000000</v>
      </c>
      <c r="V53" s="319">
        <f t="shared" si="24"/>
        <v>1584.9157210000001</v>
      </c>
      <c r="X53" s="345">
        <f t="shared" si="17"/>
        <v>80.094133982745817</v>
      </c>
      <c r="Y53" s="346">
        <f t="shared" si="18"/>
        <v>-82.03522468529907</v>
      </c>
      <c r="AA53" s="345">
        <f t="shared" si="19"/>
        <v>61.094952417992694</v>
      </c>
      <c r="AB53" s="346">
        <f t="shared" si="20"/>
        <v>-4.5168947469716922</v>
      </c>
      <c r="AD53">
        <f t="shared" si="25"/>
        <v>0</v>
      </c>
      <c r="AE53">
        <f t="shared" si="21"/>
        <v>0</v>
      </c>
    </row>
    <row r="54" spans="1:31" x14ac:dyDescent="0.2">
      <c r="A54" s="347">
        <v>43.652000000000001</v>
      </c>
      <c r="B54" s="364">
        <f t="shared" si="22"/>
        <v>4.3652000000000003E-2</v>
      </c>
      <c r="C54" s="337">
        <f t="shared" si="0"/>
        <v>1.0037455976061154</v>
      </c>
      <c r="D54" s="338">
        <f t="shared" si="1"/>
        <v>8.6416938172637417E-2</v>
      </c>
      <c r="E54" s="338">
        <f t="shared" si="2"/>
        <v>1.000000002166509</v>
      </c>
      <c r="F54" s="339">
        <f t="shared" si="3"/>
        <v>6.5825665036669411E-5</v>
      </c>
      <c r="G54" s="338">
        <f t="shared" si="4"/>
        <v>1</v>
      </c>
      <c r="H54" s="339">
        <f t="shared" si="5"/>
        <v>0</v>
      </c>
      <c r="I54" s="337">
        <f t="shared" si="6"/>
        <v>8.318263567552286</v>
      </c>
      <c r="J54" s="340">
        <f t="shared" si="7"/>
        <v>1.4502874613627565</v>
      </c>
      <c r="K54" s="348">
        <f t="shared" si="8"/>
        <v>1.0000303110544231</v>
      </c>
      <c r="L54" s="349">
        <f t="shared" si="9"/>
        <v>7.7859217578266585E-3</v>
      </c>
      <c r="M54" s="337">
        <f t="shared" si="10"/>
        <v>1.0000000055612466</v>
      </c>
      <c r="N54" s="340">
        <f t="shared" si="11"/>
        <v>1.054632316089953E-4</v>
      </c>
      <c r="O54" s="341">
        <f t="shared" si="12"/>
        <v>0.99999999952280938</v>
      </c>
      <c r="P54" s="342">
        <f t="shared" si="13"/>
        <v>5.3447292432548905E-5</v>
      </c>
      <c r="Q54" s="343">
        <f t="shared" si="14"/>
        <v>83.598293176858618</v>
      </c>
      <c r="R54" s="344">
        <f t="shared" si="15"/>
        <v>-87.605909465882831</v>
      </c>
      <c r="S54" s="346">
        <f t="shared" si="16"/>
        <v>92.394090534117169</v>
      </c>
      <c r="U54" s="319">
        <f t="shared" si="23"/>
        <v>1000000000</v>
      </c>
      <c r="V54" s="319">
        <f t="shared" si="24"/>
        <v>1905.497104</v>
      </c>
      <c r="X54" s="345">
        <f t="shared" si="17"/>
        <v>79.306834085937481</v>
      </c>
      <c r="Y54" s="346">
        <f t="shared" si="18"/>
        <v>-82.655292852998301</v>
      </c>
      <c r="AA54" s="345">
        <f t="shared" si="19"/>
        <v>61.089506103837898</v>
      </c>
      <c r="AB54" s="346">
        <f t="shared" si="20"/>
        <v>-4.9506166128845477</v>
      </c>
      <c r="AD54">
        <f t="shared" si="25"/>
        <v>0</v>
      </c>
      <c r="AE54">
        <f t="shared" si="21"/>
        <v>0</v>
      </c>
    </row>
    <row r="55" spans="1:31" x14ac:dyDescent="0.2">
      <c r="A55" s="347">
        <v>47.863</v>
      </c>
      <c r="B55" s="364">
        <f t="shared" si="22"/>
        <v>4.7863000000000003E-2</v>
      </c>
      <c r="C55" s="337">
        <f t="shared" si="0"/>
        <v>1.0045014131220467</v>
      </c>
      <c r="D55" s="338">
        <f t="shared" si="1"/>
        <v>9.4705777330367391E-2</v>
      </c>
      <c r="E55" s="338">
        <f t="shared" si="2"/>
        <v>1.000000002604666</v>
      </c>
      <c r="F55" s="339">
        <f t="shared" si="3"/>
        <v>7.2175703398006947E-5</v>
      </c>
      <c r="G55" s="338">
        <f t="shared" si="4"/>
        <v>1</v>
      </c>
      <c r="H55" s="339">
        <f t="shared" si="5"/>
        <v>0</v>
      </c>
      <c r="I55" s="337">
        <f t="shared" si="6"/>
        <v>9.1096121261987548</v>
      </c>
      <c r="J55" s="340">
        <f t="shared" si="7"/>
        <v>1.4608004949172533</v>
      </c>
      <c r="K55" s="348">
        <f t="shared" si="8"/>
        <v>1.0000364410810907</v>
      </c>
      <c r="L55" s="349">
        <f t="shared" si="9"/>
        <v>8.5369754009286137E-3</v>
      </c>
      <c r="M55" s="337">
        <f t="shared" si="10"/>
        <v>1.0000000066859587</v>
      </c>
      <c r="N55" s="340">
        <f t="shared" si="11"/>
        <v>1.1563700748457048E-4</v>
      </c>
      <c r="O55" s="341">
        <f t="shared" si="12"/>
        <v>0.99999999942630191</v>
      </c>
      <c r="P55" s="342">
        <f t="shared" si="13"/>
        <v>5.8603219971416788E-5</v>
      </c>
      <c r="Q55" s="343">
        <f t="shared" si="14"/>
        <v>82.802464269445991</v>
      </c>
      <c r="R55" s="344">
        <f t="shared" si="15"/>
        <v>-88.640659713389311</v>
      </c>
      <c r="S55" s="346">
        <f t="shared" si="16"/>
        <v>91.359340286610689</v>
      </c>
      <c r="U55" s="319">
        <f t="shared" si="23"/>
        <v>1000000000</v>
      </c>
      <c r="V55" s="319">
        <f t="shared" si="24"/>
        <v>2290.8667689999997</v>
      </c>
      <c r="X55" s="345">
        <f t="shared" si="17"/>
        <v>78.517543144989958</v>
      </c>
      <c r="Y55" s="346">
        <f t="shared" si="18"/>
        <v>-83.215196016671882</v>
      </c>
      <c r="AA55" s="345">
        <f t="shared" si="19"/>
        <v>61.082968137372795</v>
      </c>
      <c r="AB55" s="346">
        <f t="shared" si="20"/>
        <v>-5.4254636967174417</v>
      </c>
      <c r="AD55">
        <f t="shared" si="25"/>
        <v>0</v>
      </c>
      <c r="AE55">
        <f t="shared" si="21"/>
        <v>0</v>
      </c>
    </row>
    <row r="56" spans="1:31" x14ac:dyDescent="0.2">
      <c r="A56" s="347">
        <v>52.481000000000002</v>
      </c>
      <c r="B56" s="364">
        <f t="shared" si="22"/>
        <v>5.2481E-2</v>
      </c>
      <c r="C56" s="337">
        <f t="shared" si="0"/>
        <v>1.0054094927611099</v>
      </c>
      <c r="D56" s="338">
        <f t="shared" si="1"/>
        <v>0.10378072354310999</v>
      </c>
      <c r="E56" s="338">
        <f t="shared" si="2"/>
        <v>1.0000000031315288</v>
      </c>
      <c r="F56" s="339">
        <f t="shared" si="3"/>
        <v>7.9139483289813634E-5</v>
      </c>
      <c r="G56" s="338">
        <f t="shared" si="4"/>
        <v>1</v>
      </c>
      <c r="H56" s="339">
        <f t="shared" si="5"/>
        <v>0</v>
      </c>
      <c r="I56" s="337">
        <f t="shared" si="6"/>
        <v>9.9784107701882743</v>
      </c>
      <c r="J56" s="340">
        <f t="shared" si="7"/>
        <v>1.4704114538753541</v>
      </c>
      <c r="K56" s="348">
        <f t="shared" si="8"/>
        <v>1.0000438120952355</v>
      </c>
      <c r="L56" s="349">
        <f t="shared" si="9"/>
        <v>9.3606084964913648E-3</v>
      </c>
      <c r="M56" s="337">
        <f t="shared" si="10"/>
        <v>1.0000000080383713</v>
      </c>
      <c r="N56" s="340">
        <f t="shared" si="11"/>
        <v>1.2679409532052131E-4</v>
      </c>
      <c r="O56" s="341">
        <f t="shared" si="12"/>
        <v>0.99999999931025618</v>
      </c>
      <c r="P56" s="342">
        <f t="shared" si="13"/>
        <v>6.4257476297618633E-5</v>
      </c>
      <c r="Q56" s="343">
        <f t="shared" si="14"/>
        <v>82.00344985095127</v>
      </c>
      <c r="R56" s="344">
        <f t="shared" si="15"/>
        <v>-89.664656740858547</v>
      </c>
      <c r="S56" s="346">
        <f t="shared" si="16"/>
        <v>90.335343259141453</v>
      </c>
      <c r="U56" s="319">
        <f t="shared" si="23"/>
        <v>1000000000</v>
      </c>
      <c r="V56" s="319">
        <f t="shared" si="24"/>
        <v>2754.255361</v>
      </c>
      <c r="X56" s="345">
        <f t="shared" si="17"/>
        <v>77.726377307672792</v>
      </c>
      <c r="Y56" s="346">
        <f t="shared" si="18"/>
        <v>-83.719311956422146</v>
      </c>
      <c r="AA56" s="345">
        <f t="shared" si="19"/>
        <v>61.075119556195226</v>
      </c>
      <c r="AB56" s="346">
        <f t="shared" si="20"/>
        <v>-5.9453447844363918</v>
      </c>
      <c r="AD56">
        <f t="shared" si="25"/>
        <v>0</v>
      </c>
      <c r="AE56">
        <f t="shared" si="21"/>
        <v>0</v>
      </c>
    </row>
    <row r="57" spans="1:31" x14ac:dyDescent="0.2">
      <c r="A57" s="347">
        <v>57.544000000000004</v>
      </c>
      <c r="B57" s="364">
        <f t="shared" si="22"/>
        <v>5.7544000000000005E-2</v>
      </c>
      <c r="C57" s="337">
        <f t="shared" si="0"/>
        <v>1.0065000444688397</v>
      </c>
      <c r="D57" s="338">
        <f t="shared" si="1"/>
        <v>0.11371042034842734</v>
      </c>
      <c r="E57" s="338">
        <f t="shared" si="2"/>
        <v>1.0000000037648902</v>
      </c>
      <c r="F57" s="339">
        <f t="shared" si="3"/>
        <v>8.6774307358970855E-5</v>
      </c>
      <c r="G57" s="338">
        <f t="shared" si="4"/>
        <v>1</v>
      </c>
      <c r="H57" s="339">
        <f t="shared" si="5"/>
        <v>0</v>
      </c>
      <c r="I57" s="337">
        <f t="shared" si="6"/>
        <v>10.931811330223873</v>
      </c>
      <c r="J57" s="340">
        <f t="shared" si="7"/>
        <v>1.4791921181871346</v>
      </c>
      <c r="K57" s="348">
        <f t="shared" si="8"/>
        <v>1.0000526729922055</v>
      </c>
      <c r="L57" s="349">
        <f t="shared" si="9"/>
        <v>1.0263593939035779E-2</v>
      </c>
      <c r="M57" s="337">
        <f t="shared" si="10"/>
        <v>1.0000000096641566</v>
      </c>
      <c r="N57" s="340">
        <f t="shared" si="11"/>
        <v>1.3902630310428537E-4</v>
      </c>
      <c r="O57" s="341">
        <f t="shared" si="12"/>
        <v>0.99999999917075355</v>
      </c>
      <c r="P57" s="342">
        <f t="shared" si="13"/>
        <v>7.0456588424394541E-5</v>
      </c>
      <c r="Q57" s="343">
        <f t="shared" si="14"/>
        <v>81.201495472043504</v>
      </c>
      <c r="R57" s="344">
        <f t="shared" si="15"/>
        <v>-90.685562806026184</v>
      </c>
      <c r="S57" s="346">
        <f t="shared" si="16"/>
        <v>89.314437193973816</v>
      </c>
      <c r="U57" s="319">
        <f t="shared" si="23"/>
        <v>1000000000</v>
      </c>
      <c r="V57" s="319">
        <f t="shared" si="24"/>
        <v>3311.3119360000005</v>
      </c>
      <c r="X57" s="345">
        <f t="shared" si="17"/>
        <v>76.933839262628354</v>
      </c>
      <c r="Y57" s="346">
        <f t="shared" si="18"/>
        <v>-84.171370562385448</v>
      </c>
      <c r="AA57" s="345">
        <f t="shared" si="19"/>
        <v>61.065703222331905</v>
      </c>
      <c r="AB57" s="346">
        <f t="shared" si="20"/>
        <v>-6.5141922436407196</v>
      </c>
      <c r="AD57">
        <f t="shared" si="25"/>
        <v>0</v>
      </c>
      <c r="AE57">
        <f t="shared" si="21"/>
        <v>0</v>
      </c>
    </row>
    <row r="58" spans="1:31" x14ac:dyDescent="0.2">
      <c r="A58" s="347">
        <v>63.095999999999997</v>
      </c>
      <c r="B58" s="364">
        <f t="shared" si="22"/>
        <v>6.3095999999999999E-2</v>
      </c>
      <c r="C58" s="337">
        <f t="shared" si="0"/>
        <v>1.0078097387490432</v>
      </c>
      <c r="D58" s="338">
        <f t="shared" si="1"/>
        <v>0.12457325960249083</v>
      </c>
      <c r="E58" s="338">
        <f t="shared" si="2"/>
        <v>1.0000000045264308</v>
      </c>
      <c r="F58" s="339">
        <f t="shared" si="3"/>
        <v>9.5146526038195899E-5</v>
      </c>
      <c r="G58" s="338">
        <f t="shared" si="4"/>
        <v>1</v>
      </c>
      <c r="H58" s="339">
        <f t="shared" si="5"/>
        <v>0</v>
      </c>
      <c r="I58" s="337">
        <f t="shared" si="6"/>
        <v>11.978101380306446</v>
      </c>
      <c r="J58" s="340">
        <f t="shared" si="7"/>
        <v>1.4872133556635958</v>
      </c>
      <c r="K58" s="348">
        <f t="shared" si="8"/>
        <v>1.000063327047116</v>
      </c>
      <c r="L58" s="349">
        <f t="shared" si="9"/>
        <v>1.1253773177699019E-2</v>
      </c>
      <c r="M58" s="337">
        <f t="shared" si="10"/>
        <v>1.0000000116189669</v>
      </c>
      <c r="N58" s="340">
        <f t="shared" si="11"/>
        <v>1.5243993481920361E-4</v>
      </c>
      <c r="O58" s="341">
        <f t="shared" si="12"/>
        <v>0.99999999900301817</v>
      </c>
      <c r="P58" s="342">
        <f t="shared" si="13"/>
        <v>7.7254429735771588E-5</v>
      </c>
      <c r="Q58" s="343">
        <f t="shared" si="14"/>
        <v>80.396375813831767</v>
      </c>
      <c r="R58" s="344">
        <f t="shared" si="15"/>
        <v>-91.711485951828521</v>
      </c>
      <c r="S58" s="346">
        <f t="shared" si="16"/>
        <v>88.288514048171479</v>
      </c>
      <c r="U58" s="319">
        <f t="shared" si="23"/>
        <v>1000000000</v>
      </c>
      <c r="V58" s="319">
        <f t="shared" si="24"/>
        <v>3981.1052159999995</v>
      </c>
      <c r="X58" s="345">
        <f t="shared" si="17"/>
        <v>76.140014643090367</v>
      </c>
      <c r="Y58" s="346">
        <f t="shared" si="18"/>
        <v>-84.57498906986838</v>
      </c>
      <c r="AA58" s="345">
        <f t="shared" si="19"/>
        <v>61.054408183658168</v>
      </c>
      <c r="AB58" s="346">
        <f t="shared" si="20"/>
        <v>-7.136496881960146</v>
      </c>
      <c r="AD58">
        <f t="shared" si="25"/>
        <v>0</v>
      </c>
      <c r="AE58">
        <f t="shared" si="21"/>
        <v>0</v>
      </c>
    </row>
    <row r="59" spans="1:31" x14ac:dyDescent="0.2">
      <c r="A59" s="347">
        <v>69.183000000000007</v>
      </c>
      <c r="B59" s="364">
        <f t="shared" si="22"/>
        <v>6.9183000000000008E-2</v>
      </c>
      <c r="C59" s="337">
        <f t="shared" si="0"/>
        <v>1.0093819194042475</v>
      </c>
      <c r="D59" s="338">
        <f t="shared" si="1"/>
        <v>0.13644890281985028</v>
      </c>
      <c r="E59" s="338">
        <f t="shared" si="2"/>
        <v>1.0000000054419056</v>
      </c>
      <c r="F59" s="339">
        <f t="shared" si="3"/>
        <v>1.0432550568788965E-4</v>
      </c>
      <c r="G59" s="338">
        <f t="shared" si="4"/>
        <v>1</v>
      </c>
      <c r="H59" s="339">
        <f t="shared" si="5"/>
        <v>0</v>
      </c>
      <c r="I59" s="337">
        <f t="shared" si="6"/>
        <v>13.125951307305249</v>
      </c>
      <c r="J59" s="340">
        <f t="shared" si="7"/>
        <v>1.494537481259488</v>
      </c>
      <c r="K59" s="348">
        <f t="shared" si="8"/>
        <v>1.000076134514406</v>
      </c>
      <c r="L59" s="349">
        <f t="shared" si="9"/>
        <v>1.2339342310917234E-2</v>
      </c>
      <c r="M59" s="337">
        <f t="shared" si="10"/>
        <v>1.000000013968914</v>
      </c>
      <c r="N59" s="340">
        <f t="shared" si="11"/>
        <v>1.6714612644343346E-4</v>
      </c>
      <c r="O59" s="341">
        <f t="shared" si="12"/>
        <v>0.99999999880137769</v>
      </c>
      <c r="P59" s="342">
        <f t="shared" si="13"/>
        <v>8.4707322406536731E-5</v>
      </c>
      <c r="Q59" s="343">
        <f t="shared" si="14"/>
        <v>79.588091545708195</v>
      </c>
      <c r="R59" s="344">
        <f t="shared" si="15"/>
        <v>-92.750096849152285</v>
      </c>
      <c r="S59" s="346">
        <f t="shared" si="16"/>
        <v>87.249903150847715</v>
      </c>
      <c r="U59" s="319">
        <f t="shared" si="23"/>
        <v>1000000000</v>
      </c>
      <c r="V59" s="319">
        <f t="shared" si="24"/>
        <v>4786.2874890000012</v>
      </c>
      <c r="X59" s="345">
        <f t="shared" si="17"/>
        <v>75.345269773254046</v>
      </c>
      <c r="Y59" s="346">
        <f t="shared" si="18"/>
        <v>-84.93327462855585</v>
      </c>
      <c r="AA59" s="345">
        <f t="shared" si="19"/>
        <v>61.040868785370918</v>
      </c>
      <c r="AB59" s="346">
        <f t="shared" si="20"/>
        <v>-7.8168222205964231</v>
      </c>
      <c r="AD59">
        <f t="shared" si="25"/>
        <v>0</v>
      </c>
      <c r="AE59">
        <f t="shared" si="21"/>
        <v>0</v>
      </c>
    </row>
    <row r="60" spans="1:31" x14ac:dyDescent="0.2">
      <c r="A60" s="347">
        <v>75.858000000000004</v>
      </c>
      <c r="B60" s="364">
        <f t="shared" si="22"/>
        <v>7.5858000000000009E-2</v>
      </c>
      <c r="C60" s="337">
        <f t="shared" si="0"/>
        <v>1.0112690682460326</v>
      </c>
      <c r="D60" s="338">
        <f t="shared" si="1"/>
        <v>0.14942723604360852</v>
      </c>
      <c r="E60" s="338">
        <f t="shared" si="2"/>
        <v>1.0000000065426697</v>
      </c>
      <c r="F60" s="339">
        <f t="shared" si="3"/>
        <v>1.1439116841802693E-4</v>
      </c>
      <c r="G60" s="338">
        <f t="shared" si="4"/>
        <v>1</v>
      </c>
      <c r="H60" s="339">
        <f t="shared" si="5"/>
        <v>0</v>
      </c>
      <c r="I60" s="337">
        <f t="shared" si="6"/>
        <v>14.38535673197333</v>
      </c>
      <c r="J60" s="340">
        <f t="shared" si="7"/>
        <v>1.5012250838022971</v>
      </c>
      <c r="K60" s="348">
        <f t="shared" si="8"/>
        <v>1.0000915339562979</v>
      </c>
      <c r="L60" s="349">
        <f t="shared" si="9"/>
        <v>1.352974314530336E-2</v>
      </c>
      <c r="M60" s="337">
        <f t="shared" si="10"/>
        <v>1.0000000167944829</v>
      </c>
      <c r="N60" s="340">
        <f t="shared" si="11"/>
        <v>1.8327292594801732E-4</v>
      </c>
      <c r="O60" s="341">
        <f t="shared" si="12"/>
        <v>0.99999999855892585</v>
      </c>
      <c r="P60" s="342">
        <f t="shared" si="13"/>
        <v>9.2880159377699289E-5</v>
      </c>
      <c r="Q60" s="343">
        <f t="shared" si="14"/>
        <v>78.776204284084073</v>
      </c>
      <c r="R60" s="344">
        <f t="shared" si="15"/>
        <v>-93.809482572844644</v>
      </c>
      <c r="S60" s="346">
        <f t="shared" si="16"/>
        <v>86.190517427155356</v>
      </c>
      <c r="U60" s="319">
        <f t="shared" si="23"/>
        <v>1000000000</v>
      </c>
      <c r="V60" s="319">
        <f t="shared" si="24"/>
        <v>5754.4361640000006</v>
      </c>
      <c r="X60" s="345">
        <f t="shared" si="17"/>
        <v>74.549606549970804</v>
      </c>
      <c r="Y60" s="346">
        <f t="shared" si="18"/>
        <v>-85.249165083490212</v>
      </c>
      <c r="AA60" s="345">
        <f t="shared" si="19"/>
        <v>61.024644747030045</v>
      </c>
      <c r="AB60" s="346">
        <f t="shared" si="20"/>
        <v>-8.5603174893544107</v>
      </c>
      <c r="AD60">
        <f t="shared" si="25"/>
        <v>0</v>
      </c>
      <c r="AE60">
        <f t="shared" si="21"/>
        <v>0</v>
      </c>
    </row>
    <row r="61" spans="1:31" x14ac:dyDescent="0.2">
      <c r="A61" s="347">
        <v>83.176000000000002</v>
      </c>
      <c r="B61" s="364">
        <f t="shared" si="22"/>
        <v>8.3176E-2</v>
      </c>
      <c r="C61" s="337">
        <f t="shared" si="0"/>
        <v>1.013532957759294</v>
      </c>
      <c r="D61" s="338">
        <f t="shared" si="1"/>
        <v>0.1635975686390912</v>
      </c>
      <c r="E61" s="338">
        <f t="shared" si="2"/>
        <v>1.0000000078658975</v>
      </c>
      <c r="F61" s="339">
        <f t="shared" si="3"/>
        <v>1.2542645226534428E-4</v>
      </c>
      <c r="G61" s="338">
        <f t="shared" si="4"/>
        <v>1</v>
      </c>
      <c r="H61" s="339">
        <f t="shared" si="5"/>
        <v>0</v>
      </c>
      <c r="I61" s="337">
        <f t="shared" si="6"/>
        <v>15.766695663978211</v>
      </c>
      <c r="J61" s="340">
        <f t="shared" si="7"/>
        <v>1.5073288958616644</v>
      </c>
      <c r="K61" s="348">
        <f t="shared" si="8"/>
        <v>1.0001100453002585</v>
      </c>
      <c r="L61" s="349">
        <f t="shared" si="9"/>
        <v>1.4834770612718332E-2</v>
      </c>
      <c r="M61" s="337">
        <f t="shared" si="10"/>
        <v>1.0000000201910972</v>
      </c>
      <c r="N61" s="340">
        <f t="shared" si="11"/>
        <v>2.0095321329502276E-4</v>
      </c>
      <c r="O61" s="341">
        <f t="shared" si="12"/>
        <v>0.99999999826747454</v>
      </c>
      <c r="P61" s="342">
        <f t="shared" si="13"/>
        <v>1.0184028238152253E-4</v>
      </c>
      <c r="Q61" s="343">
        <f t="shared" si="14"/>
        <v>77.960541029786555</v>
      </c>
      <c r="R61" s="344">
        <f t="shared" si="15"/>
        <v>-94.897227037904059</v>
      </c>
      <c r="S61" s="346">
        <f t="shared" si="16"/>
        <v>85.102772962095941</v>
      </c>
      <c r="U61" s="319">
        <f t="shared" si="23"/>
        <v>1000000000</v>
      </c>
      <c r="V61" s="319">
        <f t="shared" si="24"/>
        <v>6918.2469760000004</v>
      </c>
      <c r="X61" s="345">
        <f t="shared" si="17"/>
        <v>73.753366318968901</v>
      </c>
      <c r="Y61" s="346">
        <f t="shared" si="18"/>
        <v>-85.525128193562381</v>
      </c>
      <c r="AA61" s="345">
        <f t="shared" si="19"/>
        <v>61.005221723734408</v>
      </c>
      <c r="AB61" s="346">
        <f t="shared" si="20"/>
        <v>-9.3720988443416822</v>
      </c>
      <c r="AD61">
        <f t="shared" si="25"/>
        <v>0</v>
      </c>
      <c r="AE61">
        <f t="shared" si="21"/>
        <v>0</v>
      </c>
    </row>
    <row r="62" spans="1:31" x14ac:dyDescent="0.2">
      <c r="A62" s="347">
        <v>91.201000000000008</v>
      </c>
      <c r="B62" s="364">
        <f t="shared" si="22"/>
        <v>9.1201000000000004E-2</v>
      </c>
      <c r="C62" s="337">
        <f t="shared" si="0"/>
        <v>1.0162483988808269</v>
      </c>
      <c r="D62" s="338">
        <f t="shared" si="1"/>
        <v>0.1790608729404243</v>
      </c>
      <c r="E62" s="338">
        <f t="shared" si="2"/>
        <v>1.0000000094569572</v>
      </c>
      <c r="F62" s="339">
        <f t="shared" si="3"/>
        <v>1.375278669438086E-4</v>
      </c>
      <c r="G62" s="338">
        <f t="shared" si="4"/>
        <v>1</v>
      </c>
      <c r="H62" s="339">
        <f t="shared" si="5"/>
        <v>0</v>
      </c>
      <c r="I62" s="337">
        <f t="shared" si="6"/>
        <v>17.282049365391046</v>
      </c>
      <c r="J62" s="340">
        <f t="shared" si="7"/>
        <v>1.5129004805196511</v>
      </c>
      <c r="K62" s="348">
        <f t="shared" si="8"/>
        <v>1.0001323030345668</v>
      </c>
      <c r="L62" s="349">
        <f t="shared" si="9"/>
        <v>1.6265819958995561E-2</v>
      </c>
      <c r="M62" s="337">
        <f t="shared" si="10"/>
        <v>1.0000000242752136</v>
      </c>
      <c r="N62" s="340">
        <f t="shared" si="11"/>
        <v>2.2034161243410688E-4</v>
      </c>
      <c r="O62" s="341">
        <f t="shared" si="12"/>
        <v>0.99999999791703131</v>
      </c>
      <c r="P62" s="342">
        <f t="shared" si="13"/>
        <v>1.1166605270726655E-4</v>
      </c>
      <c r="Q62" s="343">
        <f t="shared" si="14"/>
        <v>77.140403207183468</v>
      </c>
      <c r="R62" s="344">
        <f t="shared" si="15"/>
        <v>-96.021424799892458</v>
      </c>
      <c r="S62" s="346">
        <f t="shared" si="16"/>
        <v>83.978575200107542</v>
      </c>
      <c r="U62" s="319">
        <f t="shared" si="23"/>
        <v>1000000000</v>
      </c>
      <c r="V62" s="319">
        <f t="shared" si="24"/>
        <v>8317.6224010000005</v>
      </c>
      <c r="X62" s="345">
        <f t="shared" si="17"/>
        <v>72.956468456452228</v>
      </c>
      <c r="Y62" s="346">
        <f t="shared" si="18"/>
        <v>-85.763474265562749</v>
      </c>
      <c r="AA62" s="345">
        <f t="shared" si="19"/>
        <v>60.981981763648001</v>
      </c>
      <c r="AB62" s="346">
        <f t="shared" si="20"/>
        <v>-10.25795053432971</v>
      </c>
      <c r="AD62">
        <f t="shared" si="25"/>
        <v>0</v>
      </c>
      <c r="AE62">
        <f t="shared" si="21"/>
        <v>0</v>
      </c>
    </row>
    <row r="63" spans="1:31" x14ac:dyDescent="0.2">
      <c r="A63" s="347">
        <v>100</v>
      </c>
      <c r="B63" s="364">
        <f t="shared" si="22"/>
        <v>0.1</v>
      </c>
      <c r="C63" s="337">
        <f t="shared" si="0"/>
        <v>1.0195034218091414</v>
      </c>
      <c r="D63" s="338">
        <f t="shared" si="1"/>
        <v>0.19591642664943618</v>
      </c>
      <c r="E63" s="338">
        <f t="shared" si="2"/>
        <v>1.0000000113697842</v>
      </c>
      <c r="F63" s="339">
        <f t="shared" si="3"/>
        <v>1.5079644605698464E-4</v>
      </c>
      <c r="G63" s="338">
        <f t="shared" si="4"/>
        <v>1</v>
      </c>
      <c r="H63" s="339">
        <f t="shared" si="5"/>
        <v>0</v>
      </c>
      <c r="I63" s="337">
        <f t="shared" si="6"/>
        <v>18.944069984189291</v>
      </c>
      <c r="J63" s="340">
        <f t="shared" si="7"/>
        <v>1.5179848140216932</v>
      </c>
      <c r="K63" s="348">
        <f t="shared" si="8"/>
        <v>1.0001590613978644</v>
      </c>
      <c r="L63" s="349">
        <f t="shared" si="9"/>
        <v>1.7834815219239845E-2</v>
      </c>
      <c r="M63" s="337">
        <f t="shared" si="10"/>
        <v>1.0000000291852795</v>
      </c>
      <c r="N63" s="340">
        <f t="shared" si="11"/>
        <v>2.4159999529922439E-4</v>
      </c>
      <c r="O63" s="341">
        <f t="shared" si="12"/>
        <v>0.99999999749571611</v>
      </c>
      <c r="P63" s="342">
        <f t="shared" si="13"/>
        <v>1.2243950483136417E-4</v>
      </c>
      <c r="Q63" s="343">
        <f t="shared" si="14"/>
        <v>76.315298341282244</v>
      </c>
      <c r="R63" s="344">
        <f t="shared" si="15"/>
        <v>-97.189665990297414</v>
      </c>
      <c r="S63" s="346">
        <f t="shared" si="16"/>
        <v>82.810334009702586</v>
      </c>
      <c r="U63" s="319">
        <f t="shared" si="23"/>
        <v>1000000000</v>
      </c>
      <c r="V63" s="319">
        <f t="shared" si="24"/>
        <v>10000</v>
      </c>
      <c r="X63" s="345">
        <f t="shared" si="17"/>
        <v>72.159139838219986</v>
      </c>
      <c r="Y63" s="346">
        <f t="shared" si="18"/>
        <v>-85.966106326227688</v>
      </c>
      <c r="AA63" s="345">
        <f t="shared" si="19"/>
        <v>60.954205515979012</v>
      </c>
      <c r="AB63" s="346">
        <f t="shared" si="20"/>
        <v>-11.22355966406972</v>
      </c>
      <c r="AD63">
        <f t="shared" si="25"/>
        <v>0</v>
      </c>
      <c r="AE63">
        <f t="shared" si="21"/>
        <v>0</v>
      </c>
    </row>
    <row r="64" spans="1:31" x14ac:dyDescent="0.2">
      <c r="A64" s="347">
        <v>109.65</v>
      </c>
      <c r="B64" s="364">
        <f t="shared" si="22"/>
        <v>0.10965000000000001</v>
      </c>
      <c r="C64" s="337">
        <f t="shared" si="0"/>
        <v>1.0234039992165729</v>
      </c>
      <c r="D64" s="338">
        <f t="shared" si="1"/>
        <v>0.21427308436665188</v>
      </c>
      <c r="E64" s="338">
        <f t="shared" si="2"/>
        <v>1.0000000136700309</v>
      </c>
      <c r="F64" s="339">
        <f t="shared" si="3"/>
        <v>1.6534830284792242E-4</v>
      </c>
      <c r="G64" s="338">
        <f t="shared" si="4"/>
        <v>1</v>
      </c>
      <c r="H64" s="339">
        <f t="shared" si="5"/>
        <v>0</v>
      </c>
      <c r="I64" s="337">
        <f t="shared" si="6"/>
        <v>20.767302376412136</v>
      </c>
      <c r="J64" s="340">
        <f t="shared" si="7"/>
        <v>1.5226250799265766</v>
      </c>
      <c r="K64" s="348">
        <f t="shared" si="8"/>
        <v>1.000191238390661</v>
      </c>
      <c r="L64" s="349">
        <f t="shared" si="9"/>
        <v>1.9555455446772084E-2</v>
      </c>
      <c r="M64" s="337">
        <f t="shared" si="10"/>
        <v>1.0000000350898191</v>
      </c>
      <c r="N64" s="340">
        <f t="shared" si="11"/>
        <v>2.6491439380280129E-4</v>
      </c>
      <c r="O64" s="341">
        <f t="shared" si="12"/>
        <v>0.99999999698906883</v>
      </c>
      <c r="P64" s="342">
        <f t="shared" si="13"/>
        <v>1.3425491718347546E-4</v>
      </c>
      <c r="Q64" s="343">
        <f t="shared" si="14"/>
        <v>75.484273372682608</v>
      </c>
      <c r="R64" s="344">
        <f t="shared" si="15"/>
        <v>-98.409886263843589</v>
      </c>
      <c r="S64" s="346">
        <f t="shared" si="16"/>
        <v>81.590113736156411</v>
      </c>
      <c r="U64" s="319">
        <f t="shared" si="23"/>
        <v>1000000000</v>
      </c>
      <c r="V64" s="319">
        <f t="shared" si="24"/>
        <v>12023.122500000001</v>
      </c>
      <c r="X64" s="345">
        <f t="shared" si="17"/>
        <v>71.361283285187113</v>
      </c>
      <c r="Y64" s="346">
        <f t="shared" si="18"/>
        <v>-86.134724372126755</v>
      </c>
      <c r="AA64" s="345">
        <f t="shared" si="19"/>
        <v>60.921037100412256</v>
      </c>
      <c r="AB64" s="346">
        <f t="shared" si="20"/>
        <v>-12.275161891716843</v>
      </c>
      <c r="AD64">
        <f t="shared" si="25"/>
        <v>0</v>
      </c>
      <c r="AE64">
        <f t="shared" si="21"/>
        <v>0</v>
      </c>
    </row>
    <row r="65" spans="1:31" x14ac:dyDescent="0.2">
      <c r="A65" s="347">
        <v>120.23</v>
      </c>
      <c r="B65" s="364">
        <f t="shared" si="22"/>
        <v>0.12023</v>
      </c>
      <c r="C65" s="337">
        <f t="shared" si="0"/>
        <v>1.0280735542012085</v>
      </c>
      <c r="D65" s="338">
        <f t="shared" si="1"/>
        <v>0.23423126303304262</v>
      </c>
      <c r="E65" s="338">
        <f t="shared" si="2"/>
        <v>1.0000000164353104</v>
      </c>
      <c r="F65" s="339">
        <f t="shared" si="3"/>
        <v>1.8130256648205071E-4</v>
      </c>
      <c r="G65" s="338">
        <f t="shared" si="4"/>
        <v>1</v>
      </c>
      <c r="H65" s="339">
        <f t="shared" si="5"/>
        <v>0</v>
      </c>
      <c r="I65" s="337">
        <f t="shared" si="6"/>
        <v>22.76667284992914</v>
      </c>
      <c r="J65" s="340">
        <f t="shared" si="7"/>
        <v>1.5268583373971065</v>
      </c>
      <c r="K65" s="348">
        <f t="shared" si="8"/>
        <v>1.0002299191281498</v>
      </c>
      <c r="L65" s="349">
        <f t="shared" si="9"/>
        <v>2.1441785581108864E-2</v>
      </c>
      <c r="M65" s="337">
        <f t="shared" si="10"/>
        <v>1.0000000421880595</v>
      </c>
      <c r="N65" s="340">
        <f t="shared" si="11"/>
        <v>2.904756718302634E-4</v>
      </c>
      <c r="O65" s="341">
        <f t="shared" si="12"/>
        <v>0.99999999637999437</v>
      </c>
      <c r="P65" s="342">
        <f t="shared" si="13"/>
        <v>1.4720901698686315E-4</v>
      </c>
      <c r="Q65" s="343">
        <f t="shared" si="14"/>
        <v>74.646678077389112</v>
      </c>
      <c r="R65" s="344">
        <f t="shared" si="15"/>
        <v>-99.689167357469955</v>
      </c>
      <c r="S65" s="346">
        <f t="shared" si="16"/>
        <v>80.310832642530045</v>
      </c>
      <c r="U65" s="319">
        <f t="shared" si="23"/>
        <v>1000000000</v>
      </c>
      <c r="V65" s="319">
        <f t="shared" si="24"/>
        <v>14455.252900000001</v>
      </c>
      <c r="X65" s="345">
        <f t="shared" si="17"/>
        <v>70.563229518555076</v>
      </c>
      <c r="Y65" s="346">
        <f t="shared" si="18"/>
        <v>-86.270657956819761</v>
      </c>
      <c r="AA65" s="345">
        <f t="shared" si="19"/>
        <v>60.88149557175079</v>
      </c>
      <c r="AB65" s="346">
        <f t="shared" si="20"/>
        <v>-13.418509400650187</v>
      </c>
      <c r="AD65">
        <f t="shared" si="25"/>
        <v>0</v>
      </c>
      <c r="AE65">
        <f t="shared" si="21"/>
        <v>0</v>
      </c>
    </row>
    <row r="66" spans="1:31" x14ac:dyDescent="0.2">
      <c r="A66" s="347">
        <v>131.83000000000001</v>
      </c>
      <c r="B66" s="364">
        <f t="shared" si="22"/>
        <v>0.13183</v>
      </c>
      <c r="C66" s="337">
        <f t="shared" si="0"/>
        <v>1.0336593483440741</v>
      </c>
      <c r="D66" s="338">
        <f t="shared" si="1"/>
        <v>0.25589672952867709</v>
      </c>
      <c r="E66" s="338">
        <f t="shared" si="2"/>
        <v>1.0000000197597172</v>
      </c>
      <c r="F66" s="339">
        <f t="shared" si="3"/>
        <v>1.9879495372500532E-4</v>
      </c>
      <c r="G66" s="338">
        <f t="shared" si="4"/>
        <v>1</v>
      </c>
      <c r="H66" s="339">
        <f t="shared" si="5"/>
        <v>0</v>
      </c>
      <c r="I66" s="337">
        <f t="shared" si="6"/>
        <v>24.959189406127916</v>
      </c>
      <c r="J66" s="340">
        <f t="shared" si="7"/>
        <v>1.530720196252481</v>
      </c>
      <c r="K66" s="348">
        <f t="shared" si="8"/>
        <v>1.0002764189531363</v>
      </c>
      <c r="L66" s="349">
        <f t="shared" si="9"/>
        <v>2.3509797756981358E-2</v>
      </c>
      <c r="M66" s="337">
        <f t="shared" si="10"/>
        <v>1.0000000507215314</v>
      </c>
      <c r="N66" s="340">
        <f t="shared" si="11"/>
        <v>3.1850126923008528E-4</v>
      </c>
      <c r="O66" s="341">
        <f t="shared" si="12"/>
        <v>0.99999999564776787</v>
      </c>
      <c r="P66" s="342">
        <f t="shared" si="13"/>
        <v>1.6141199981506915E-4</v>
      </c>
      <c r="Q66" s="343">
        <f t="shared" si="14"/>
        <v>73.801398650519289</v>
      </c>
      <c r="R66" s="344">
        <f t="shared" si="15"/>
        <v>-101.03470427367769</v>
      </c>
      <c r="S66" s="346">
        <f t="shared" si="16"/>
        <v>78.96529572632231</v>
      </c>
      <c r="U66" s="319">
        <f t="shared" si="23"/>
        <v>1000000000</v>
      </c>
      <c r="V66" s="319">
        <f t="shared" si="24"/>
        <v>17379.148900000004</v>
      </c>
      <c r="X66" s="345">
        <f t="shared" si="17"/>
        <v>69.765015037675397</v>
      </c>
      <c r="Y66" s="346">
        <f t="shared" si="18"/>
        <v>-86.375043549217409</v>
      </c>
      <c r="AA66" s="345">
        <f t="shared" si="19"/>
        <v>60.834430625760668</v>
      </c>
      <c r="AB66" s="346">
        <f t="shared" si="20"/>
        <v>-14.659660724460277</v>
      </c>
      <c r="AD66">
        <f t="shared" si="25"/>
        <v>0</v>
      </c>
      <c r="AE66">
        <f t="shared" si="21"/>
        <v>0</v>
      </c>
    </row>
    <row r="67" spans="1:31" x14ac:dyDescent="0.2">
      <c r="A67" s="347">
        <v>144.54</v>
      </c>
      <c r="B67" s="364">
        <f t="shared" si="22"/>
        <v>0.14454</v>
      </c>
      <c r="C67" s="337">
        <f t="shared" si="0"/>
        <v>1.0403302613888166</v>
      </c>
      <c r="D67" s="338">
        <f t="shared" si="1"/>
        <v>0.27935599561228897</v>
      </c>
      <c r="E67" s="338">
        <f t="shared" si="2"/>
        <v>1.0000000237535387</v>
      </c>
      <c r="F67" s="339">
        <f t="shared" si="3"/>
        <v>2.1796118133131378E-4</v>
      </c>
      <c r="G67" s="338">
        <f t="shared" si="4"/>
        <v>1</v>
      </c>
      <c r="H67" s="339">
        <f t="shared" si="5"/>
        <v>0</v>
      </c>
      <c r="I67" s="337">
        <f t="shared" si="6"/>
        <v>27.361862717386046</v>
      </c>
      <c r="J67" s="340">
        <f t="shared" si="7"/>
        <v>1.534240966482425</v>
      </c>
      <c r="K67" s="348">
        <f t="shared" si="8"/>
        <v>1.0003322792996288</v>
      </c>
      <c r="L67" s="349">
        <f t="shared" si="9"/>
        <v>2.5775465767485042E-2</v>
      </c>
      <c r="M67" s="337">
        <f t="shared" si="10"/>
        <v>1.0000000609733353</v>
      </c>
      <c r="N67" s="340">
        <f t="shared" si="11"/>
        <v>3.4920862580505691E-4</v>
      </c>
      <c r="O67" s="341">
        <f t="shared" si="12"/>
        <v>0.99999999476809742</v>
      </c>
      <c r="P67" s="342">
        <f t="shared" si="13"/>
        <v>1.7697406124758829E-4</v>
      </c>
      <c r="Q67" s="343">
        <f t="shared" si="14"/>
        <v>72.947704100076507</v>
      </c>
      <c r="R67" s="344">
        <f t="shared" si="15"/>
        <v>-102.45228617081563</v>
      </c>
      <c r="S67" s="346">
        <f t="shared" si="16"/>
        <v>77.547713829184374</v>
      </c>
      <c r="U67" s="319">
        <f t="shared" si="23"/>
        <v>1000000000</v>
      </c>
      <c r="V67" s="319">
        <f t="shared" si="24"/>
        <v>20891.811599999997</v>
      </c>
      <c r="X67" s="345">
        <f t="shared" si="17"/>
        <v>68.967196341328474</v>
      </c>
      <c r="Y67" s="346">
        <f t="shared" si="18"/>
        <v>-86.448715011264767</v>
      </c>
      <c r="AA67" s="345">
        <f t="shared" si="19"/>
        <v>60.778554771664794</v>
      </c>
      <c r="AB67" s="346">
        <f t="shared" si="20"/>
        <v>-16.003571159550855</v>
      </c>
      <c r="AD67">
        <f t="shared" si="25"/>
        <v>0</v>
      </c>
      <c r="AE67">
        <f t="shared" si="21"/>
        <v>0</v>
      </c>
    </row>
    <row r="68" spans="1:31" x14ac:dyDescent="0.2">
      <c r="A68" s="347">
        <v>158.49</v>
      </c>
      <c r="B68" s="364">
        <f t="shared" si="22"/>
        <v>0.15849000000000002</v>
      </c>
      <c r="C68" s="337">
        <f t="shared" si="0"/>
        <v>1.0483020038115534</v>
      </c>
      <c r="D68" s="338">
        <f t="shared" si="1"/>
        <v>0.30474472235749328</v>
      </c>
      <c r="E68" s="338">
        <f t="shared" si="2"/>
        <v>1.0000000285598518</v>
      </c>
      <c r="F68" s="339">
        <f t="shared" si="3"/>
        <v>2.3899728461679537E-4</v>
      </c>
      <c r="G68" s="338">
        <f t="shared" si="4"/>
        <v>1</v>
      </c>
      <c r="H68" s="339">
        <f t="shared" si="5"/>
        <v>0</v>
      </c>
      <c r="I68" s="337">
        <f t="shared" si="6"/>
        <v>29.999268010865975</v>
      </c>
      <c r="J68" s="340">
        <f t="shared" si="7"/>
        <v>1.5374560037402452</v>
      </c>
      <c r="K68" s="348">
        <f t="shared" si="8"/>
        <v>1.0003994995757219</v>
      </c>
      <c r="L68" s="349">
        <f t="shared" si="9"/>
        <v>2.826186905074473E-2</v>
      </c>
      <c r="M68" s="337">
        <f t="shared" si="10"/>
        <v>1.0000000733107359</v>
      </c>
      <c r="N68" s="340">
        <f t="shared" si="11"/>
        <v>3.8291182128563509E-4</v>
      </c>
      <c r="O68" s="341">
        <f t="shared" si="12"/>
        <v>0.99999999370946946</v>
      </c>
      <c r="P68" s="342">
        <f t="shared" si="13"/>
        <v>1.9405437267502876E-4</v>
      </c>
      <c r="Q68" s="343">
        <f t="shared" si="14"/>
        <v>72.082684042480864</v>
      </c>
      <c r="R68" s="344">
        <f t="shared" si="15"/>
        <v>-103.9504051144698</v>
      </c>
      <c r="S68" s="346">
        <f t="shared" si="16"/>
        <v>76.049594885530198</v>
      </c>
      <c r="U68" s="319">
        <f t="shared" si="23"/>
        <v>1000000000</v>
      </c>
      <c r="V68" s="319">
        <f t="shared" si="24"/>
        <v>25119.080100000003</v>
      </c>
      <c r="X68" s="345">
        <f t="shared" si="17"/>
        <v>68.168479920890903</v>
      </c>
      <c r="Y68" s="346">
        <f t="shared" si="18"/>
        <v>-86.492393713723985</v>
      </c>
      <c r="AA68" s="345">
        <f t="shared" si="19"/>
        <v>60.712251134506729</v>
      </c>
      <c r="AB68" s="346">
        <f t="shared" si="20"/>
        <v>-17.458011400745818</v>
      </c>
      <c r="AD68">
        <f t="shared" si="25"/>
        <v>0</v>
      </c>
      <c r="AE68">
        <f t="shared" si="21"/>
        <v>0</v>
      </c>
    </row>
    <row r="69" spans="1:31" x14ac:dyDescent="0.2">
      <c r="A69" s="347">
        <v>173.78</v>
      </c>
      <c r="B69" s="364">
        <f t="shared" si="22"/>
        <v>0.17377999999999999</v>
      </c>
      <c r="C69" s="337">
        <f t="shared" si="0"/>
        <v>1.0578031058437665</v>
      </c>
      <c r="D69" s="338">
        <f t="shared" si="1"/>
        <v>0.33211304321160395</v>
      </c>
      <c r="E69" s="338">
        <f t="shared" si="2"/>
        <v>1.0000000343361661</v>
      </c>
      <c r="F69" s="339">
        <f t="shared" si="3"/>
        <v>2.6205405994553888E-4</v>
      </c>
      <c r="G69" s="338">
        <f t="shared" si="4"/>
        <v>1</v>
      </c>
      <c r="H69" s="339">
        <f t="shared" si="5"/>
        <v>0</v>
      </c>
      <c r="I69" s="337">
        <f t="shared" si="6"/>
        <v>32.890311786623279</v>
      </c>
      <c r="J69" s="340">
        <f t="shared" si="7"/>
        <v>1.5403875505349283</v>
      </c>
      <c r="K69" s="348">
        <f t="shared" si="8"/>
        <v>1.0004802801526076</v>
      </c>
      <c r="L69" s="349">
        <f t="shared" si="9"/>
        <v>3.0986707058610879E-2</v>
      </c>
      <c r="M69" s="337">
        <f t="shared" si="10"/>
        <v>1.0000000881380486</v>
      </c>
      <c r="N69" s="340">
        <f t="shared" si="11"/>
        <v>4.1985245533001601E-4</v>
      </c>
      <c r="O69" s="341">
        <f t="shared" si="12"/>
        <v>0.99999999243719118</v>
      </c>
      <c r="P69" s="342">
        <f t="shared" si="13"/>
        <v>2.1277537364614891E-4</v>
      </c>
      <c r="Q69" s="343">
        <f t="shared" si="14"/>
        <v>71.205870230431742</v>
      </c>
      <c r="R69" s="344">
        <f t="shared" si="15"/>
        <v>-105.53220605550223</v>
      </c>
      <c r="S69" s="346">
        <f t="shared" si="16"/>
        <v>74.467793944497771</v>
      </c>
      <c r="U69" s="319">
        <f t="shared" si="23"/>
        <v>1000000000</v>
      </c>
      <c r="V69" s="319">
        <f t="shared" si="24"/>
        <v>30199.488400000002</v>
      </c>
      <c r="X69" s="345">
        <f t="shared" si="17"/>
        <v>67.370034485308224</v>
      </c>
      <c r="Y69" s="346">
        <f t="shared" si="18"/>
        <v>-86.506353797236088</v>
      </c>
      <c r="AA69" s="345">
        <f t="shared" si="19"/>
        <v>60.633882758040301</v>
      </c>
      <c r="AB69" s="346">
        <f t="shared" si="20"/>
        <v>-19.025852258266141</v>
      </c>
      <c r="AD69">
        <f t="shared" si="25"/>
        <v>0</v>
      </c>
      <c r="AE69">
        <f t="shared" si="21"/>
        <v>0</v>
      </c>
    </row>
    <row r="70" spans="1:31" x14ac:dyDescent="0.2">
      <c r="A70" s="347">
        <v>190.55</v>
      </c>
      <c r="B70" s="364">
        <f t="shared" si="22"/>
        <v>0.19055000000000002</v>
      </c>
      <c r="C70" s="337">
        <f t="shared" si="0"/>
        <v>1.0691175212624577</v>
      </c>
      <c r="D70" s="338">
        <f t="shared" si="1"/>
        <v>0.36154663012630661</v>
      </c>
      <c r="E70" s="338">
        <f t="shared" si="2"/>
        <v>1.0000000412828927</v>
      </c>
      <c r="F70" s="339">
        <f t="shared" si="3"/>
        <v>2.8734262223137699E-4</v>
      </c>
      <c r="G70" s="338">
        <f t="shared" si="4"/>
        <v>1</v>
      </c>
      <c r="H70" s="339">
        <f t="shared" si="5"/>
        <v>0</v>
      </c>
      <c r="I70" s="337">
        <f t="shared" si="6"/>
        <v>36.061465370613561</v>
      </c>
      <c r="J70" s="340">
        <f t="shared" si="7"/>
        <v>1.5430623399228287</v>
      </c>
      <c r="K70" s="348">
        <f t="shared" si="8"/>
        <v>1.0005774200663735</v>
      </c>
      <c r="L70" s="349">
        <f t="shared" si="9"/>
        <v>3.3974765878914903E-2</v>
      </c>
      <c r="M70" s="337">
        <f t="shared" si="10"/>
        <v>1.0000001059697103</v>
      </c>
      <c r="N70" s="340">
        <f t="shared" si="11"/>
        <v>4.6036876747657015E-4</v>
      </c>
      <c r="O70" s="341">
        <f t="shared" si="12"/>
        <v>0.99999999090712055</v>
      </c>
      <c r="P70" s="342">
        <f t="shared" si="13"/>
        <v>2.3330847952700905E-4</v>
      </c>
      <c r="Q70" s="343">
        <f t="shared" si="14"/>
        <v>70.314793664849191</v>
      </c>
      <c r="R70" s="344">
        <f t="shared" si="15"/>
        <v>-107.20272629333361</v>
      </c>
      <c r="S70" s="346">
        <f t="shared" si="16"/>
        <v>72.797273706666388</v>
      </c>
      <c r="U70" s="319">
        <f t="shared" si="23"/>
        <v>1000000000</v>
      </c>
      <c r="V70" s="319">
        <f t="shared" si="24"/>
        <v>36309.302500000005</v>
      </c>
      <c r="X70" s="345">
        <f t="shared" si="17"/>
        <v>66.571370030571174</v>
      </c>
      <c r="Y70" s="346">
        <f t="shared" si="18"/>
        <v>-86.490726194578471</v>
      </c>
      <c r="AA70" s="345">
        <f t="shared" si="19"/>
        <v>60.541470647194785</v>
      </c>
      <c r="AB70" s="346">
        <f t="shared" si="20"/>
        <v>-20.71200009875513</v>
      </c>
      <c r="AD70">
        <f t="shared" si="25"/>
        <v>0</v>
      </c>
      <c r="AE70">
        <f t="shared" si="21"/>
        <v>0</v>
      </c>
    </row>
    <row r="71" spans="1:31" x14ac:dyDescent="0.2">
      <c r="A71" s="347">
        <v>208.93</v>
      </c>
      <c r="B71" s="364">
        <f t="shared" si="22"/>
        <v>0.20893</v>
      </c>
      <c r="C71" s="337">
        <f t="shared" si="0"/>
        <v>1.0825581364914525</v>
      </c>
      <c r="D71" s="338">
        <f t="shared" si="1"/>
        <v>0.3930689709721561</v>
      </c>
      <c r="E71" s="338">
        <f t="shared" si="2"/>
        <v>1.0000000496310908</v>
      </c>
      <c r="F71" s="339">
        <f t="shared" si="3"/>
        <v>3.150590067104786E-4</v>
      </c>
      <c r="G71" s="338">
        <f t="shared" si="4"/>
        <v>1</v>
      </c>
      <c r="H71" s="339">
        <f t="shared" si="5"/>
        <v>0</v>
      </c>
      <c r="I71" s="337">
        <f t="shared" si="6"/>
        <v>39.53731135042112</v>
      </c>
      <c r="J71" s="340">
        <f t="shared" si="7"/>
        <v>1.5455010647875589</v>
      </c>
      <c r="K71" s="348">
        <f t="shared" si="8"/>
        <v>1.000694145058231</v>
      </c>
      <c r="L71" s="349">
        <f t="shared" si="9"/>
        <v>3.7248993672158455E-2</v>
      </c>
      <c r="M71" s="337">
        <f t="shared" si="10"/>
        <v>1.0000001273988315</v>
      </c>
      <c r="N71" s="340">
        <f t="shared" si="11"/>
        <v>5.0477483712818387E-4</v>
      </c>
      <c r="O71" s="341">
        <f t="shared" si="12"/>
        <v>0.99999998906836463</v>
      </c>
      <c r="P71" s="342">
        <f t="shared" si="13"/>
        <v>2.5581286175090215E-4</v>
      </c>
      <c r="Q71" s="343">
        <f t="shared" si="14"/>
        <v>69.408015908821852</v>
      </c>
      <c r="R71" s="344">
        <f t="shared" si="15"/>
        <v>-108.96319824925439</v>
      </c>
      <c r="S71" s="346">
        <f t="shared" si="16"/>
        <v>71.03680175074561</v>
      </c>
      <c r="U71" s="319">
        <f t="shared" si="23"/>
        <v>1000000000</v>
      </c>
      <c r="V71" s="319">
        <f t="shared" si="24"/>
        <v>43651.744900000005</v>
      </c>
      <c r="X71" s="345">
        <f t="shared" si="17"/>
        <v>65.773107815355814</v>
      </c>
      <c r="Y71" s="346">
        <f t="shared" si="18"/>
        <v>-86.44539968332785</v>
      </c>
      <c r="AA71" s="345">
        <f t="shared" si="19"/>
        <v>60.432955106382799</v>
      </c>
      <c r="AB71" s="346">
        <f t="shared" si="20"/>
        <v>-22.517798565926544</v>
      </c>
      <c r="AD71">
        <f t="shared" si="25"/>
        <v>0</v>
      </c>
      <c r="AE71">
        <f t="shared" si="21"/>
        <v>0</v>
      </c>
    </row>
    <row r="72" spans="1:31" x14ac:dyDescent="0.2">
      <c r="A72" s="347">
        <v>229.09</v>
      </c>
      <c r="B72" s="364">
        <f t="shared" si="22"/>
        <v>0.22909000000000002</v>
      </c>
      <c r="C72" s="337">
        <f t="shared" si="0"/>
        <v>1.0985048673477888</v>
      </c>
      <c r="D72" s="338">
        <f t="shared" si="1"/>
        <v>0.42671989429183621</v>
      </c>
      <c r="E72" s="338">
        <f t="shared" si="2"/>
        <v>1.0000000596711591</v>
      </c>
      <c r="F72" s="339">
        <f t="shared" si="3"/>
        <v>3.4545956714783152E-4</v>
      </c>
      <c r="G72" s="338">
        <f t="shared" si="4"/>
        <v>1</v>
      </c>
      <c r="H72" s="339">
        <f t="shared" si="5"/>
        <v>0</v>
      </c>
      <c r="I72" s="337">
        <f t="shared" si="6"/>
        <v>43.349998476303199</v>
      </c>
      <c r="J72" s="340">
        <f t="shared" si="7"/>
        <v>1.5477262288580276</v>
      </c>
      <c r="K72" s="348">
        <f t="shared" si="8"/>
        <v>1.0008345078461949</v>
      </c>
      <c r="L72" s="349">
        <f t="shared" si="9"/>
        <v>4.0839390863203227E-2</v>
      </c>
      <c r="M72" s="337">
        <f t="shared" si="10"/>
        <v>1.0000001531708405</v>
      </c>
      <c r="N72" s="340">
        <f t="shared" si="11"/>
        <v>5.5348138348186116E-4</v>
      </c>
      <c r="O72" s="341">
        <f t="shared" si="12"/>
        <v>0.99999998685696134</v>
      </c>
      <c r="P72" s="342">
        <f t="shared" si="13"/>
        <v>2.8049666757963689E-4</v>
      </c>
      <c r="Q72" s="343">
        <f t="shared" si="14"/>
        <v>68.48257981838411</v>
      </c>
      <c r="R72" s="344">
        <f t="shared" si="15"/>
        <v>-110.81549517207563</v>
      </c>
      <c r="S72" s="346">
        <f t="shared" si="16"/>
        <v>69.184504827924371</v>
      </c>
      <c r="U72" s="319">
        <f t="shared" si="23"/>
        <v>1000000000</v>
      </c>
      <c r="V72" s="319">
        <f t="shared" si="24"/>
        <v>52482.2281</v>
      </c>
      <c r="X72" s="345">
        <f t="shared" si="17"/>
        <v>64.974686759553023</v>
      </c>
      <c r="Y72" s="346">
        <f t="shared" si="18"/>
        <v>-86.369968266921902</v>
      </c>
      <c r="AA72" s="345">
        <f t="shared" si="19"/>
        <v>60.305940071747848</v>
      </c>
      <c r="AB72" s="346">
        <f t="shared" si="20"/>
        <v>-24.445526905153738</v>
      </c>
      <c r="AD72">
        <f t="shared" si="25"/>
        <v>0</v>
      </c>
      <c r="AE72">
        <f t="shared" si="21"/>
        <v>0</v>
      </c>
    </row>
    <row r="73" spans="1:31" x14ac:dyDescent="0.2">
      <c r="A73" s="347">
        <v>251.19</v>
      </c>
      <c r="B73" s="364">
        <f t="shared" si="22"/>
        <v>0.25119000000000002</v>
      </c>
      <c r="C73" s="337">
        <f t="shared" si="0"/>
        <v>1.1173715974956344</v>
      </c>
      <c r="D73" s="338">
        <f t="shared" si="1"/>
        <v>0.46246057574082128</v>
      </c>
      <c r="E73" s="338">
        <f t="shared" si="2"/>
        <v>1.0000000717392612</v>
      </c>
      <c r="F73" s="339">
        <f t="shared" si="3"/>
        <v>3.7878557760581515E-4</v>
      </c>
      <c r="G73" s="338">
        <f t="shared" si="4"/>
        <v>1</v>
      </c>
      <c r="H73" s="339">
        <f t="shared" si="5"/>
        <v>0</v>
      </c>
      <c r="I73" s="337">
        <f t="shared" si="6"/>
        <v>47.529786236846277</v>
      </c>
      <c r="J73" s="340">
        <f t="shared" si="7"/>
        <v>1.5497553360771401</v>
      </c>
      <c r="K73" s="348">
        <f t="shared" si="8"/>
        <v>1.0010031970310018</v>
      </c>
      <c r="L73" s="349">
        <f t="shared" si="9"/>
        <v>4.4774079065743225E-2</v>
      </c>
      <c r="M73" s="337">
        <f t="shared" si="10"/>
        <v>1.0000001841486401</v>
      </c>
      <c r="N73" s="340">
        <f t="shared" si="11"/>
        <v>6.0687496549653394E-4</v>
      </c>
      <c r="O73" s="341">
        <f t="shared" si="12"/>
        <v>0.99999998419886793</v>
      </c>
      <c r="P73" s="342">
        <f t="shared" si="13"/>
        <v>3.0755580035562248E-4</v>
      </c>
      <c r="Q73" s="343">
        <f t="shared" si="14"/>
        <v>67.536595212169146</v>
      </c>
      <c r="R73" s="344">
        <f t="shared" si="15"/>
        <v>-112.75680379163212</v>
      </c>
      <c r="S73" s="346">
        <f t="shared" si="16"/>
        <v>67.243196208367877</v>
      </c>
      <c r="U73" s="319">
        <f t="shared" si="23"/>
        <v>1000000000</v>
      </c>
      <c r="V73" s="319">
        <f t="shared" si="24"/>
        <v>63096.416100000002</v>
      </c>
      <c r="X73" s="345">
        <f t="shared" si="17"/>
        <v>64.176614870424032</v>
      </c>
      <c r="Y73" s="346">
        <f t="shared" si="18"/>
        <v>-86.263845745832384</v>
      </c>
      <c r="AA73" s="345">
        <f t="shared" si="19"/>
        <v>60.158027354661883</v>
      </c>
      <c r="AB73" s="346">
        <f t="shared" si="20"/>
        <v>-26.492958045799728</v>
      </c>
      <c r="AD73">
        <f t="shared" si="25"/>
        <v>0</v>
      </c>
      <c r="AE73">
        <f t="shared" si="21"/>
        <v>0</v>
      </c>
    </row>
    <row r="74" spans="1:31" x14ac:dyDescent="0.2">
      <c r="A74" s="347">
        <v>275.42</v>
      </c>
      <c r="B74" s="364">
        <f t="shared" si="22"/>
        <v>0.27542</v>
      </c>
      <c r="C74" s="337">
        <f t="shared" si="0"/>
        <v>1.1396387342192669</v>
      </c>
      <c r="D74" s="338">
        <f t="shared" si="1"/>
        <v>0.50023253934331902</v>
      </c>
      <c r="E74" s="338">
        <f t="shared" si="2"/>
        <v>1.0000000862468321</v>
      </c>
      <c r="F74" s="339">
        <f t="shared" si="3"/>
        <v>4.1532355099801305E-4</v>
      </c>
      <c r="G74" s="338">
        <f t="shared" si="4"/>
        <v>1</v>
      </c>
      <c r="H74" s="339">
        <f t="shared" si="5"/>
        <v>0</v>
      </c>
      <c r="I74" s="337">
        <f t="shared" si="6"/>
        <v>52.112609398530154</v>
      </c>
      <c r="J74" s="340">
        <f t="shared" si="7"/>
        <v>1.5516059352044307</v>
      </c>
      <c r="K74" s="348">
        <f t="shared" si="8"/>
        <v>1.0012059477505619</v>
      </c>
      <c r="L74" s="349">
        <f t="shared" si="9"/>
        <v>4.908639468193246E-2</v>
      </c>
      <c r="M74" s="337">
        <f t="shared" si="10"/>
        <v>1.0000002213883503</v>
      </c>
      <c r="N74" s="340">
        <f t="shared" si="11"/>
        <v>6.6541462178997045E-4</v>
      </c>
      <c r="O74" s="341">
        <f t="shared" si="12"/>
        <v>0.99999998100346243</v>
      </c>
      <c r="P74" s="342">
        <f t="shared" si="13"/>
        <v>3.3722289531699045E-4</v>
      </c>
      <c r="Q74" s="343">
        <f t="shared" si="14"/>
        <v>66.567423517236847</v>
      </c>
      <c r="R74" s="344">
        <f t="shared" si="15"/>
        <v>-114.78289233002461</v>
      </c>
      <c r="S74" s="346">
        <f t="shared" si="16"/>
        <v>65.217107669975391</v>
      </c>
      <c r="U74" s="319">
        <f t="shared" si="23"/>
        <v>1000000000</v>
      </c>
      <c r="V74" s="319">
        <f t="shared" si="24"/>
        <v>75856.176400000011</v>
      </c>
      <c r="X74" s="345">
        <f t="shared" si="17"/>
        <v>63.378834499082402</v>
      </c>
      <c r="Y74" s="346">
        <f t="shared" si="18"/>
        <v>-86.126153855743155</v>
      </c>
      <c r="AA74" s="345">
        <f t="shared" si="19"/>
        <v>59.986636031071214</v>
      </c>
      <c r="AB74" s="346">
        <f t="shared" si="20"/>
        <v>-28.656738474281454</v>
      </c>
      <c r="AD74">
        <f t="shared" si="25"/>
        <v>0</v>
      </c>
      <c r="AE74">
        <f t="shared" si="21"/>
        <v>0</v>
      </c>
    </row>
    <row r="75" spans="1:31" x14ac:dyDescent="0.2">
      <c r="A75" s="347">
        <v>302</v>
      </c>
      <c r="B75" s="364">
        <f t="shared" si="22"/>
        <v>0.30199999999999999</v>
      </c>
      <c r="C75" s="337">
        <f t="shared" si="0"/>
        <v>1.1658590248676863</v>
      </c>
      <c r="D75" s="338">
        <f t="shared" si="1"/>
        <v>0.53994562219783848</v>
      </c>
      <c r="E75" s="338">
        <f t="shared" si="2"/>
        <v>1.0000001036969748</v>
      </c>
      <c r="F75" s="339">
        <f t="shared" si="3"/>
        <v>4.5540523906123639E-4</v>
      </c>
      <c r="G75" s="338">
        <f t="shared" si="4"/>
        <v>1</v>
      </c>
      <c r="H75" s="339">
        <f t="shared" si="5"/>
        <v>0</v>
      </c>
      <c r="I75" s="337">
        <f t="shared" si="6"/>
        <v>57.140078523884483</v>
      </c>
      <c r="J75" s="340">
        <f t="shared" si="7"/>
        <v>1.553294582318824</v>
      </c>
      <c r="K75" s="348">
        <f t="shared" si="8"/>
        <v>1.0014497680348744</v>
      </c>
      <c r="L75" s="349">
        <f t="shared" si="9"/>
        <v>5.3814843235268021E-2</v>
      </c>
      <c r="M75" s="337">
        <f t="shared" si="10"/>
        <v>1.0000002661813923</v>
      </c>
      <c r="N75" s="340">
        <f t="shared" si="11"/>
        <v>7.2963187052371627E-4</v>
      </c>
      <c r="O75" s="341">
        <f t="shared" si="12"/>
        <v>0.99999997715993294</v>
      </c>
      <c r="P75" s="342">
        <f t="shared" si="13"/>
        <v>3.6976731961258701E-4</v>
      </c>
      <c r="Q75" s="343">
        <f t="shared" si="14"/>
        <v>65.572001295695756</v>
      </c>
      <c r="R75" s="344">
        <f t="shared" si="15"/>
        <v>-116.88736410235887</v>
      </c>
      <c r="S75" s="346">
        <f t="shared" si="16"/>
        <v>63.112635897641127</v>
      </c>
      <c r="U75" s="319">
        <f t="shared" si="23"/>
        <v>1000000000</v>
      </c>
      <c r="V75" s="319">
        <f t="shared" si="24"/>
        <v>91204</v>
      </c>
      <c r="X75" s="345">
        <f t="shared" si="17"/>
        <v>62.580988837058193</v>
      </c>
      <c r="Y75" s="346">
        <f t="shared" si="18"/>
        <v>-85.955665439863537</v>
      </c>
      <c r="AA75" s="345">
        <f t="shared" si="19"/>
        <v>59.789059471554324</v>
      </c>
      <c r="AB75" s="346">
        <f t="shared" si="20"/>
        <v>-30.931698662495325</v>
      </c>
      <c r="AD75">
        <f t="shared" si="25"/>
        <v>0</v>
      </c>
      <c r="AE75">
        <f t="shared" si="21"/>
        <v>0</v>
      </c>
    </row>
    <row r="76" spans="1:31" x14ac:dyDescent="0.2">
      <c r="A76" s="347">
        <v>331.13</v>
      </c>
      <c r="B76" s="364">
        <f t="shared" si="22"/>
        <v>0.33112999999999998</v>
      </c>
      <c r="C76" s="337">
        <f t="shared" si="0"/>
        <v>1.196607467659242</v>
      </c>
      <c r="D76" s="338">
        <f t="shared" si="1"/>
        <v>0.58139755825076078</v>
      </c>
      <c r="E76" s="338">
        <f t="shared" si="2"/>
        <v>1.000000124666353</v>
      </c>
      <c r="F76" s="339">
        <f t="shared" si="3"/>
        <v>4.9933223411340781E-4</v>
      </c>
      <c r="G76" s="338">
        <f t="shared" si="4"/>
        <v>1</v>
      </c>
      <c r="H76" s="339">
        <f t="shared" si="5"/>
        <v>0</v>
      </c>
      <c r="I76" s="337">
        <f t="shared" si="6"/>
        <v>62.650022581030171</v>
      </c>
      <c r="J76" s="340">
        <f t="shared" si="7"/>
        <v>1.5548339627566941</v>
      </c>
      <c r="K76" s="348">
        <f t="shared" si="8"/>
        <v>1.0017426819685731</v>
      </c>
      <c r="L76" s="349">
        <f t="shared" si="9"/>
        <v>5.8994151280767321E-2</v>
      </c>
      <c r="M76" s="337">
        <f t="shared" si="10"/>
        <v>1.0000003200080128</v>
      </c>
      <c r="N76" s="340">
        <f t="shared" si="11"/>
        <v>8.0000990932694758E-4</v>
      </c>
      <c r="O76" s="341">
        <f t="shared" si="12"/>
        <v>0.99999997254126471</v>
      </c>
      <c r="P76" s="342">
        <f t="shared" si="13"/>
        <v>4.0543395255978698E-4</v>
      </c>
      <c r="Q76" s="343">
        <f t="shared" si="14"/>
        <v>64.548819835944613</v>
      </c>
      <c r="R76" s="344">
        <f t="shared" si="15"/>
        <v>-119.05739168437478</v>
      </c>
      <c r="S76" s="346">
        <f t="shared" si="16"/>
        <v>60.942608315625222</v>
      </c>
      <c r="U76" s="319">
        <f t="shared" si="23"/>
        <v>1000000000</v>
      </c>
      <c r="V76" s="319">
        <f t="shared" si="24"/>
        <v>109647.0769</v>
      </c>
      <c r="X76" s="345">
        <f t="shared" si="17"/>
        <v>61.78392055309746</v>
      </c>
      <c r="Y76" s="346">
        <f t="shared" si="18"/>
        <v>-85.751145314573378</v>
      </c>
      <c r="AA76" s="345">
        <f t="shared" si="19"/>
        <v>59.562946295763915</v>
      </c>
      <c r="AB76" s="346">
        <f t="shared" si="20"/>
        <v>-33.306246369801407</v>
      </c>
      <c r="AD76">
        <f t="shared" si="25"/>
        <v>0</v>
      </c>
      <c r="AE76">
        <f t="shared" si="21"/>
        <v>0</v>
      </c>
    </row>
    <row r="77" spans="1:31" x14ac:dyDescent="0.2">
      <c r="A77" s="347">
        <v>363.08</v>
      </c>
      <c r="B77" s="364">
        <f t="shared" si="22"/>
        <v>0.36307999999999996</v>
      </c>
      <c r="C77" s="337">
        <f t="shared" ref="C77:C140" si="26">SQRT(1+(A77/pole1)^2)</f>
        <v>1.2325706222121251</v>
      </c>
      <c r="D77" s="338">
        <f t="shared" ref="D77:D140" si="27">ATAN(A77/pole1)</f>
        <v>0.62440255501059594</v>
      </c>
      <c r="E77" s="338">
        <f t="shared" ref="E77:E140" si="28">SQRT(1+(A77/Zero1)^2)</f>
        <v>1.0000001498845417</v>
      </c>
      <c r="F77" s="339">
        <f t="shared" ref="F77:F140" si="29">ATAN(A77/Zero1)</f>
        <v>5.4751168578473486E-4</v>
      </c>
      <c r="G77" s="338">
        <f t="shared" ref="G77:G140" si="30">IF(VIN_nom&gt;Vout, 1, SQRT(1+(A77/z_RHP)^2))</f>
        <v>1</v>
      </c>
      <c r="H77" s="339">
        <f t="shared" ref="H77:H140" si="31">IF(VIN_nom&gt;Vout, 0, -ATAN(A77/z_RHP))</f>
        <v>0</v>
      </c>
      <c r="I77" s="337">
        <f t="shared" ref="I77:I140" si="32">SQRT(1+(A77/Pole2)^2)</f>
        <v>68.693512082354388</v>
      </c>
      <c r="J77" s="340">
        <f t="shared" ref="J77:J140" si="33">ATAN(A77/Pole2)</f>
        <v>1.5562383970460982</v>
      </c>
      <c r="K77" s="348">
        <f t="shared" ref="K77:K140" si="34">SQRT(1+(A77/Zero2)^2)</f>
        <v>1.0020948326667136</v>
      </c>
      <c r="L77" s="349">
        <f t="shared" ref="L77:L140" si="35">ATAN(A77/Zero2)</f>
        <v>6.4671203102078065E-2</v>
      </c>
      <c r="M77" s="337">
        <f t="shared" ref="M77:M140" si="36">SQRT(1+(A77/pole4)^2)</f>
        <v>1.0000003847409689</v>
      </c>
      <c r="N77" s="340">
        <f t="shared" ref="N77:N140" si="37">ATAN(A77/pole4)</f>
        <v>8.7720105500321366E-4</v>
      </c>
      <c r="O77" s="341">
        <f t="shared" ref="O77:O140" si="38">SQRT((1-(V77/pterm2))^2+(A77/pterm1)^2)</f>
        <v>0.99999996698676319</v>
      </c>
      <c r="P77" s="342">
        <f t="shared" ref="P77:P140" si="39">IF((ATAN((A77/pterm1)/(1-A77^2/pterm2))&gt;0),ATAN((A77/pterm1)/(1-A77^2/pterm2)),PI()+ATAN((A77/pterm1)/(1-A77^2/pterm2)))</f>
        <v>4.4455338123650378E-4</v>
      </c>
      <c r="Q77" s="343">
        <f t="shared" ref="Q77:Q140" si="40">20*LOG10(((E77*K77*G77)/(C77*I77*O77*M77))*Adc)</f>
        <v>63.494780571956888</v>
      </c>
      <c r="R77" s="344">
        <f t="shared" ref="R77:R140" si="41">((F77+L77+H77)-(D77+J77+P77+N77))*radconv</f>
        <v>-121.28049717295869</v>
      </c>
      <c r="S77" s="346">
        <f t="shared" ref="S77:S140" si="42">IF(R77&gt;0,R77,R77+180)</f>
        <v>58.71950282704131</v>
      </c>
      <c r="U77" s="319">
        <f t="shared" si="23"/>
        <v>1000000000</v>
      </c>
      <c r="V77" s="319">
        <f t="shared" si="24"/>
        <v>131827.0864</v>
      </c>
      <c r="X77" s="345">
        <f t="shared" ref="X77:X140" si="43">20*LOG10((K77/(I77*M77))*AEA)</f>
        <v>60.987083091501702</v>
      </c>
      <c r="Y77" s="346">
        <f t="shared" ref="Y77:Y140" si="44">(L77-(J77+N77))*radconv</f>
        <v>-85.510765089109867</v>
      </c>
      <c r="AA77" s="345">
        <f t="shared" ref="AA77:AA140" si="45">20*LOG10((E77*G77/(C77*O77))*Acs*Am)</f>
        <v>59.30574449337194</v>
      </c>
      <c r="AB77" s="346">
        <f t="shared" ref="AB77:AB140" si="46">(F77+H77-(D77+P77))*radconv</f>
        <v>-35.769732083848801</v>
      </c>
      <c r="AD77">
        <f t="shared" si="25"/>
        <v>0</v>
      </c>
      <c r="AE77">
        <f t="shared" ref="AE77:AE89" si="47">IF(AD77&gt;0,S75,0)</f>
        <v>0</v>
      </c>
    </row>
    <row r="78" spans="1:31" x14ac:dyDescent="0.2">
      <c r="A78" s="347">
        <v>398.11</v>
      </c>
      <c r="B78" s="364">
        <f t="shared" ref="B78:B141" si="48">A78/1000</f>
        <v>0.39811000000000002</v>
      </c>
      <c r="C78" s="337">
        <f t="shared" si="26"/>
        <v>1.2744623784426039</v>
      </c>
      <c r="D78" s="338">
        <f t="shared" si="27"/>
        <v>0.66867371309454138</v>
      </c>
      <c r="E78" s="338">
        <f t="shared" si="28"/>
        <v>1.0000001802014817</v>
      </c>
      <c r="F78" s="339">
        <f t="shared" si="29"/>
        <v>6.0033566382700315E-4</v>
      </c>
      <c r="G78" s="338">
        <f t="shared" si="30"/>
        <v>1</v>
      </c>
      <c r="H78" s="339">
        <f t="shared" si="31"/>
        <v>0</v>
      </c>
      <c r="I78" s="337">
        <f t="shared" si="32"/>
        <v>75.319727277110644</v>
      </c>
      <c r="J78" s="340">
        <f t="shared" si="33"/>
        <v>1.5575192024996469</v>
      </c>
      <c r="K78" s="348">
        <f t="shared" si="34"/>
        <v>1.0025180193860068</v>
      </c>
      <c r="L78" s="349">
        <f t="shared" si="35"/>
        <v>7.0890719132917362E-2</v>
      </c>
      <c r="M78" s="337">
        <f t="shared" si="36"/>
        <v>1.000000462561984</v>
      </c>
      <c r="N78" s="340">
        <f t="shared" si="37"/>
        <v>9.6183346339494117E-4</v>
      </c>
      <c r="O78" s="341">
        <f t="shared" si="38"/>
        <v>0.99999996030922245</v>
      </c>
      <c r="P78" s="342">
        <f t="shared" si="39"/>
        <v>4.8744394889547121E-4</v>
      </c>
      <c r="Q78" s="343">
        <f t="shared" si="40"/>
        <v>62.408283006314633</v>
      </c>
      <c r="R78" s="344">
        <f t="shared" si="41"/>
        <v>-123.53836035290958</v>
      </c>
      <c r="S78" s="346">
        <f t="shared" si="42"/>
        <v>56.461639647090422</v>
      </c>
      <c r="U78" s="319">
        <f t="shared" ref="U78:U141" si="49">IF(Q78&lt;0,A78,1000000000)</f>
        <v>1000000000</v>
      </c>
      <c r="V78" s="319">
        <f t="shared" ref="V78:V141" si="50">A78^2</f>
        <v>158491.57210000002</v>
      </c>
      <c r="X78" s="345">
        <f t="shared" si="43"/>
        <v>60.190889354919889</v>
      </c>
      <c r="Y78" s="346">
        <f t="shared" si="44"/>
        <v>-85.232646896287591</v>
      </c>
      <c r="AA78" s="345">
        <f t="shared" si="45"/>
        <v>59.015440664311505</v>
      </c>
      <c r="AB78" s="346">
        <f t="shared" si="46"/>
        <v>-38.305713456621994</v>
      </c>
      <c r="AD78">
        <f t="shared" ref="AD78:AD141" si="51">SUM((Q79&lt;0)*(Q78&gt;0))*A78</f>
        <v>0</v>
      </c>
      <c r="AE78">
        <f t="shared" si="47"/>
        <v>0</v>
      </c>
    </row>
    <row r="79" spans="1:31" x14ac:dyDescent="0.2">
      <c r="A79" s="347">
        <v>436.52</v>
      </c>
      <c r="B79" s="364">
        <f t="shared" si="48"/>
        <v>0.43651999999999996</v>
      </c>
      <c r="C79" s="337">
        <f t="shared" si="26"/>
        <v>1.3230731164095773</v>
      </c>
      <c r="D79" s="338">
        <f t="shared" si="27"/>
        <v>0.71389669406340905</v>
      </c>
      <c r="E79" s="338">
        <f t="shared" si="28"/>
        <v>1.0000002166508861</v>
      </c>
      <c r="F79" s="339">
        <f t="shared" si="29"/>
        <v>6.5825655624286326E-4</v>
      </c>
      <c r="G79" s="338">
        <f t="shared" si="30"/>
        <v>1</v>
      </c>
      <c r="H79" s="339">
        <f t="shared" si="31"/>
        <v>0</v>
      </c>
      <c r="I79" s="337">
        <f t="shared" si="32"/>
        <v>82.585415649052507</v>
      </c>
      <c r="J79" s="340">
        <f t="shared" si="33"/>
        <v>1.5586873553690883</v>
      </c>
      <c r="K79" s="348">
        <f t="shared" si="34"/>
        <v>1.0030265713133482</v>
      </c>
      <c r="L79" s="349">
        <f t="shared" si="35"/>
        <v>7.7704022177956314E-2</v>
      </c>
      <c r="M79" s="337">
        <f t="shared" si="36"/>
        <v>1.0000005561245107</v>
      </c>
      <c r="N79" s="340">
        <f t="shared" si="37"/>
        <v>1.0546319289955635E-3</v>
      </c>
      <c r="O79" s="341">
        <f t="shared" si="38"/>
        <v>0.99999995228095973</v>
      </c>
      <c r="P79" s="342">
        <f t="shared" si="39"/>
        <v>5.3447297476689516E-4</v>
      </c>
      <c r="Q79" s="343">
        <f t="shared" si="40"/>
        <v>61.287658686983441</v>
      </c>
      <c r="R79" s="344">
        <f t="shared" si="41"/>
        <v>-125.81069592468359</v>
      </c>
      <c r="S79" s="346">
        <f t="shared" si="42"/>
        <v>54.189304075316414</v>
      </c>
      <c r="U79" s="319">
        <f t="shared" si="49"/>
        <v>1000000000</v>
      </c>
      <c r="V79" s="319">
        <f t="shared" si="50"/>
        <v>190549.71039999998</v>
      </c>
      <c r="X79" s="345">
        <f t="shared" si="43"/>
        <v>59.395401154458867</v>
      </c>
      <c r="Y79" s="346">
        <f t="shared" si="44"/>
        <v>-84.914520576568989</v>
      </c>
      <c r="AA79" s="345">
        <f t="shared" si="45"/>
        <v>58.690304545441336</v>
      </c>
      <c r="AB79" s="346">
        <f t="shared" si="46"/>
        <v>-40.896175348114575</v>
      </c>
      <c r="AD79">
        <f t="shared" si="51"/>
        <v>0</v>
      </c>
      <c r="AE79">
        <f t="shared" si="47"/>
        <v>0</v>
      </c>
    </row>
    <row r="80" spans="1:31" x14ac:dyDescent="0.2">
      <c r="A80" s="347">
        <v>478.63</v>
      </c>
      <c r="B80" s="364">
        <f t="shared" si="48"/>
        <v>0.47863</v>
      </c>
      <c r="C80" s="337">
        <f t="shared" si="26"/>
        <v>1.3792421456795936</v>
      </c>
      <c r="D80" s="338">
        <f t="shared" si="27"/>
        <v>0.75970988170387899</v>
      </c>
      <c r="E80" s="338">
        <f t="shared" si="28"/>
        <v>1.000000260466575</v>
      </c>
      <c r="F80" s="339">
        <f t="shared" si="29"/>
        <v>7.2175690990432771E-4</v>
      </c>
      <c r="G80" s="338">
        <f t="shared" si="30"/>
        <v>1</v>
      </c>
      <c r="H80" s="339">
        <f t="shared" si="31"/>
        <v>0</v>
      </c>
      <c r="I80" s="337">
        <f t="shared" si="32"/>
        <v>90.551108822469644</v>
      </c>
      <c r="J80" s="340">
        <f t="shared" si="33"/>
        <v>1.5597526152318424</v>
      </c>
      <c r="K80" s="348">
        <f t="shared" si="34"/>
        <v>1.0036375585904314</v>
      </c>
      <c r="L80" s="349">
        <f t="shared" si="35"/>
        <v>8.5165323720448868E-2</v>
      </c>
      <c r="M80" s="337">
        <f t="shared" si="36"/>
        <v>1.0000006685956575</v>
      </c>
      <c r="N80" s="340">
        <f t="shared" si="37"/>
        <v>1.1563695645708987E-3</v>
      </c>
      <c r="O80" s="341">
        <f t="shared" si="38"/>
        <v>0.99999994263021696</v>
      </c>
      <c r="P80" s="342">
        <f t="shared" si="39"/>
        <v>5.860322662069482E-4</v>
      </c>
      <c r="Q80" s="343">
        <f t="shared" si="40"/>
        <v>60.132005753861264</v>
      </c>
      <c r="R80" s="344">
        <f t="shared" si="41"/>
        <v>-128.07427699593907</v>
      </c>
      <c r="S80" s="346">
        <f t="shared" si="42"/>
        <v>51.925723004060927</v>
      </c>
      <c r="U80" s="319">
        <f t="shared" si="49"/>
        <v>1000000000</v>
      </c>
      <c r="V80" s="319">
        <f t="shared" si="50"/>
        <v>229086.67689999999</v>
      </c>
      <c r="X80" s="345">
        <f t="shared" si="43"/>
        <v>58.600881244923102</v>
      </c>
      <c r="Y80" s="346">
        <f t="shared" si="44"/>
        <v>-84.553883519454232</v>
      </c>
      <c r="AA80" s="345">
        <f t="shared" si="45"/>
        <v>58.329171521854931</v>
      </c>
      <c r="AB80" s="346">
        <f t="shared" si="46"/>
        <v>-43.520393476484827</v>
      </c>
      <c r="AD80">
        <f t="shared" si="51"/>
        <v>0</v>
      </c>
      <c r="AE80">
        <f t="shared" si="47"/>
        <v>0</v>
      </c>
    </row>
    <row r="81" spans="1:31" x14ac:dyDescent="0.2">
      <c r="A81" s="347">
        <v>524.80999999999995</v>
      </c>
      <c r="B81" s="364">
        <f t="shared" si="48"/>
        <v>0.52481</v>
      </c>
      <c r="C81" s="337">
        <f t="shared" si="26"/>
        <v>1.4438922443919573</v>
      </c>
      <c r="D81" s="338">
        <f t="shared" si="27"/>
        <v>0.80574717154625752</v>
      </c>
      <c r="E81" s="338">
        <f t="shared" si="28"/>
        <v>1.000000313152843</v>
      </c>
      <c r="F81" s="339">
        <f t="shared" si="29"/>
        <v>7.9139466933199473E-4</v>
      </c>
      <c r="G81" s="338">
        <f t="shared" si="30"/>
        <v>1</v>
      </c>
      <c r="H81" s="339">
        <f t="shared" si="31"/>
        <v>0</v>
      </c>
      <c r="I81" s="337">
        <f t="shared" si="32"/>
        <v>99.286797459989288</v>
      </c>
      <c r="J81" s="340">
        <f t="shared" si="33"/>
        <v>1.5607243239372826</v>
      </c>
      <c r="K81" s="348">
        <f t="shared" si="34"/>
        <v>1.0043717494021236</v>
      </c>
      <c r="L81" s="349">
        <f t="shared" si="35"/>
        <v>9.3336828374297603E-2</v>
      </c>
      <c r="M81" s="337">
        <f t="shared" si="36"/>
        <v>1.000000803836816</v>
      </c>
      <c r="N81" s="340">
        <f t="shared" si="37"/>
        <v>1.2679402805219661E-3</v>
      </c>
      <c r="O81" s="341">
        <f t="shared" si="38"/>
        <v>0.99999993102566198</v>
      </c>
      <c r="P81" s="342">
        <f t="shared" si="39"/>
        <v>6.4257485063206471E-4</v>
      </c>
      <c r="Q81" s="343">
        <f t="shared" si="40"/>
        <v>58.940516921677144</v>
      </c>
      <c r="R81" s="344">
        <f t="shared" si="41"/>
        <v>-130.30514371835937</v>
      </c>
      <c r="S81" s="346">
        <f t="shared" si="42"/>
        <v>49.694856281640625</v>
      </c>
      <c r="U81" s="319">
        <f t="shared" si="49"/>
        <v>1000000000</v>
      </c>
      <c r="V81" s="319">
        <f t="shared" si="50"/>
        <v>275425.53609999997</v>
      </c>
      <c r="X81" s="345">
        <f t="shared" si="43"/>
        <v>57.807277138170022</v>
      </c>
      <c r="Y81" s="346">
        <f t="shared" si="44"/>
        <v>-84.147758128932225</v>
      </c>
      <c r="AA81" s="345">
        <f t="shared" si="45"/>
        <v>57.931286796423876</v>
      </c>
      <c r="AB81" s="346">
        <f t="shared" si="46"/>
        <v>-46.157385589427179</v>
      </c>
      <c r="AD81">
        <f t="shared" si="51"/>
        <v>0</v>
      </c>
      <c r="AE81">
        <f t="shared" si="47"/>
        <v>0</v>
      </c>
    </row>
    <row r="82" spans="1:31" x14ac:dyDescent="0.2">
      <c r="A82" s="347">
        <v>575.44000000000005</v>
      </c>
      <c r="B82" s="364">
        <f t="shared" si="48"/>
        <v>0.57544000000000006</v>
      </c>
      <c r="C82" s="337">
        <f t="shared" si="26"/>
        <v>1.5179703394920532</v>
      </c>
      <c r="D82" s="338">
        <f t="shared" si="27"/>
        <v>0.85160777937446552</v>
      </c>
      <c r="E82" s="338">
        <f t="shared" si="28"/>
        <v>1.0000003764889518</v>
      </c>
      <c r="F82" s="339">
        <f t="shared" si="29"/>
        <v>8.6774285797061688E-4</v>
      </c>
      <c r="G82" s="338">
        <f t="shared" si="30"/>
        <v>1</v>
      </c>
      <c r="H82" s="339">
        <f t="shared" si="31"/>
        <v>0</v>
      </c>
      <c r="I82" s="337">
        <f t="shared" si="32"/>
        <v>108.86436467440161</v>
      </c>
      <c r="J82" s="340">
        <f t="shared" si="33"/>
        <v>1.5616104553069965</v>
      </c>
      <c r="K82" s="348">
        <f t="shared" si="34"/>
        <v>1.0052536375888028</v>
      </c>
      <c r="L82" s="349">
        <f t="shared" si="35"/>
        <v>0.10228137311852356</v>
      </c>
      <c r="M82" s="337">
        <f t="shared" si="36"/>
        <v>1.0000009664151932</v>
      </c>
      <c r="N82" s="340">
        <f t="shared" si="37"/>
        <v>1.3902621442863899E-3</v>
      </c>
      <c r="O82" s="341">
        <f t="shared" si="38"/>
        <v>0.9999999170753997</v>
      </c>
      <c r="P82" s="342">
        <f t="shared" si="39"/>
        <v>7.0456599979525753E-4</v>
      </c>
      <c r="Q82" s="343">
        <f t="shared" si="40"/>
        <v>57.713684638562782</v>
      </c>
      <c r="R82" s="344">
        <f t="shared" si="41"/>
        <v>-132.47723584813863</v>
      </c>
      <c r="S82" s="346">
        <f t="shared" si="42"/>
        <v>47.522764151861367</v>
      </c>
      <c r="U82" s="319">
        <f t="shared" si="49"/>
        <v>1000000000</v>
      </c>
      <c r="V82" s="319">
        <f t="shared" si="50"/>
        <v>331131.19360000006</v>
      </c>
      <c r="X82" s="345">
        <f t="shared" si="43"/>
        <v>57.01501422456942</v>
      </c>
      <c r="Y82" s="346">
        <f t="shared" si="44"/>
        <v>-83.693053579017203</v>
      </c>
      <c r="AA82" s="345">
        <f t="shared" si="45"/>
        <v>57.496717426910131</v>
      </c>
      <c r="AB82" s="346">
        <f t="shared" si="46"/>
        <v>-48.78418226912143</v>
      </c>
      <c r="AD82">
        <f t="shared" si="51"/>
        <v>0</v>
      </c>
      <c r="AE82">
        <f t="shared" si="47"/>
        <v>0</v>
      </c>
    </row>
    <row r="83" spans="1:31" x14ac:dyDescent="0.2">
      <c r="A83" s="347">
        <v>630.96</v>
      </c>
      <c r="B83" s="364">
        <f t="shared" si="48"/>
        <v>0.63096000000000008</v>
      </c>
      <c r="C83" s="337">
        <f t="shared" si="26"/>
        <v>1.6025126994009973</v>
      </c>
      <c r="D83" s="338">
        <f t="shared" si="27"/>
        <v>0.89691954840475385</v>
      </c>
      <c r="E83" s="338">
        <f t="shared" si="28"/>
        <v>1.0000004526429711</v>
      </c>
      <c r="F83" s="339">
        <f t="shared" si="29"/>
        <v>9.5146497613716877E-4</v>
      </c>
      <c r="G83" s="338">
        <f t="shared" si="30"/>
        <v>1</v>
      </c>
      <c r="H83" s="339">
        <f t="shared" si="31"/>
        <v>0</v>
      </c>
      <c r="I83" s="337">
        <f t="shared" si="32"/>
        <v>119.36704431161024</v>
      </c>
      <c r="J83" s="340">
        <f t="shared" si="33"/>
        <v>1.5624187071321045</v>
      </c>
      <c r="K83" s="348">
        <f t="shared" si="34"/>
        <v>1.0063129783793403</v>
      </c>
      <c r="L83" s="349">
        <f t="shared" si="35"/>
        <v>0.1120709141622564</v>
      </c>
      <c r="M83" s="337">
        <f t="shared" si="36"/>
        <v>1.0000011618960294</v>
      </c>
      <c r="N83" s="340">
        <f t="shared" si="37"/>
        <v>1.5243981792052513E-3</v>
      </c>
      <c r="O83" s="341">
        <f t="shared" si="38"/>
        <v>0.99999990030189723</v>
      </c>
      <c r="P83" s="342">
        <f t="shared" si="39"/>
        <v>7.7254444968588435E-4</v>
      </c>
      <c r="Q83" s="343">
        <f t="shared" si="40"/>
        <v>56.452094317293529</v>
      </c>
      <c r="R83" s="344">
        <f t="shared" si="41"/>
        <v>-134.5656023943537</v>
      </c>
      <c r="S83" s="346">
        <f t="shared" si="42"/>
        <v>45.434397605646296</v>
      </c>
      <c r="U83" s="319">
        <f t="shared" si="49"/>
        <v>1000000000</v>
      </c>
      <c r="V83" s="319">
        <f t="shared" si="50"/>
        <v>398110.52160000004</v>
      </c>
      <c r="X83" s="345">
        <f t="shared" si="43"/>
        <v>56.224186978948616</v>
      </c>
      <c r="Y83" s="346">
        <f t="shared" si="44"/>
        <v>-83.186149040305892</v>
      </c>
      <c r="AA83" s="345">
        <f t="shared" si="45"/>
        <v>57.025954351261674</v>
      </c>
      <c r="AB83" s="346">
        <f t="shared" si="46"/>
        <v>-51.379453354047804</v>
      </c>
      <c r="AD83">
        <f t="shared" si="51"/>
        <v>0</v>
      </c>
      <c r="AE83">
        <f t="shared" si="47"/>
        <v>0</v>
      </c>
    </row>
    <row r="84" spans="1:31" x14ac:dyDescent="0.2">
      <c r="A84" s="347">
        <v>691.83</v>
      </c>
      <c r="B84" s="364">
        <f t="shared" si="48"/>
        <v>0.69183000000000006</v>
      </c>
      <c r="C84" s="337">
        <f t="shared" si="26"/>
        <v>1.6985835045767699</v>
      </c>
      <c r="D84" s="338">
        <f t="shared" si="27"/>
        <v>0.94131467441166605</v>
      </c>
      <c r="E84" s="338">
        <f t="shared" si="28"/>
        <v>1.0000005441904127</v>
      </c>
      <c r="F84" s="339">
        <f t="shared" si="29"/>
        <v>1.0432546821776362E-3</v>
      </c>
      <c r="G84" s="338">
        <f t="shared" si="30"/>
        <v>1</v>
      </c>
      <c r="H84" s="339">
        <f t="shared" si="31"/>
        <v>0</v>
      </c>
      <c r="I84" s="337">
        <f t="shared" si="32"/>
        <v>130.88185425098027</v>
      </c>
      <c r="J84" s="340">
        <f t="shared" si="33"/>
        <v>1.5631557739049338</v>
      </c>
      <c r="K84" s="348">
        <f t="shared" si="34"/>
        <v>1.0075849753383821</v>
      </c>
      <c r="L84" s="349">
        <f t="shared" si="35"/>
        <v>0.12277899174525847</v>
      </c>
      <c r="M84" s="337">
        <f t="shared" si="36"/>
        <v>1.0000013968904296</v>
      </c>
      <c r="N84" s="340">
        <f t="shared" si="37"/>
        <v>1.6714597234360115E-3</v>
      </c>
      <c r="O84" s="341">
        <f t="shared" si="38"/>
        <v>0.99999988013788021</v>
      </c>
      <c r="P84" s="342">
        <f t="shared" si="39"/>
        <v>8.4707342486961925E-4</v>
      </c>
      <c r="Q84" s="343">
        <f t="shared" si="40"/>
        <v>55.157457002545591</v>
      </c>
      <c r="R84" s="344">
        <f t="shared" si="41"/>
        <v>-136.54539594964498</v>
      </c>
      <c r="S84" s="346">
        <f t="shared" si="42"/>
        <v>43.454604050355016</v>
      </c>
      <c r="U84" s="319">
        <f t="shared" si="49"/>
        <v>1000000000</v>
      </c>
      <c r="V84" s="319">
        <f t="shared" si="50"/>
        <v>478628.74890000006</v>
      </c>
      <c r="X84" s="345">
        <f t="shared" si="43"/>
        <v>55.435257141160093</v>
      </c>
      <c r="Y84" s="346">
        <f t="shared" si="44"/>
        <v>-82.623278208573609</v>
      </c>
      <c r="AA84" s="345">
        <f t="shared" si="45"/>
        <v>56.520246874302259</v>
      </c>
      <c r="AB84" s="346">
        <f t="shared" si="46"/>
        <v>-53.922117741071375</v>
      </c>
      <c r="AD84">
        <f t="shared" si="51"/>
        <v>0</v>
      </c>
      <c r="AE84">
        <f t="shared" si="47"/>
        <v>0</v>
      </c>
    </row>
    <row r="85" spans="1:31" x14ac:dyDescent="0.2">
      <c r="A85" s="347">
        <v>758.58</v>
      </c>
      <c r="B85" s="364">
        <f t="shared" si="48"/>
        <v>0.75858000000000003</v>
      </c>
      <c r="C85" s="337">
        <f t="shared" si="26"/>
        <v>1.8073496726200691</v>
      </c>
      <c r="D85" s="338">
        <f t="shared" si="27"/>
        <v>0.98447997414362831</v>
      </c>
      <c r="E85" s="338">
        <f t="shared" si="28"/>
        <v>1.0000006542667623</v>
      </c>
      <c r="F85" s="339">
        <f t="shared" si="29"/>
        <v>1.1439111902210573E-3</v>
      </c>
      <c r="G85" s="338">
        <f t="shared" si="30"/>
        <v>1</v>
      </c>
      <c r="H85" s="339">
        <f t="shared" si="31"/>
        <v>0</v>
      </c>
      <c r="I85" s="337">
        <f t="shared" si="32"/>
        <v>143.50905487324849</v>
      </c>
      <c r="J85" s="340">
        <f t="shared" si="33"/>
        <v>1.5638280689821853</v>
      </c>
      <c r="K85" s="348">
        <f t="shared" si="34"/>
        <v>1.0091122975695517</v>
      </c>
      <c r="L85" s="349">
        <f t="shared" si="35"/>
        <v>0.13448893197020784</v>
      </c>
      <c r="M85" s="337">
        <f t="shared" si="36"/>
        <v>1.0000016794468967</v>
      </c>
      <c r="N85" s="340">
        <f t="shared" si="37"/>
        <v>1.8327272280214111E-3</v>
      </c>
      <c r="O85" s="341">
        <f t="shared" si="38"/>
        <v>0.99999985589273654</v>
      </c>
      <c r="P85" s="342">
        <f t="shared" si="39"/>
        <v>9.2880185849220174E-4</v>
      </c>
      <c r="Q85" s="343">
        <f t="shared" si="40"/>
        <v>53.831509079897693</v>
      </c>
      <c r="R85" s="344">
        <f t="shared" si="41"/>
        <v>-138.39433041369688</v>
      </c>
      <c r="S85" s="346">
        <f t="shared" si="42"/>
        <v>41.605669586303122</v>
      </c>
      <c r="U85" s="319">
        <f t="shared" si="49"/>
        <v>1000000000</v>
      </c>
      <c r="V85" s="319">
        <f t="shared" si="50"/>
        <v>575443.61640000006</v>
      </c>
      <c r="X85" s="345">
        <f t="shared" si="43"/>
        <v>54.648413702906993</v>
      </c>
      <c r="Y85" s="346">
        <f t="shared" si="44"/>
        <v>-82.000107672520741</v>
      </c>
      <c r="AA85" s="345">
        <f t="shared" si="45"/>
        <v>55.981142389907461</v>
      </c>
      <c r="AB85" s="346">
        <f t="shared" si="46"/>
        <v>-56.394222741176158</v>
      </c>
      <c r="AD85">
        <f t="shared" si="51"/>
        <v>0</v>
      </c>
      <c r="AE85">
        <f t="shared" si="47"/>
        <v>0</v>
      </c>
    </row>
    <row r="86" spans="1:31" x14ac:dyDescent="0.2">
      <c r="A86" s="347">
        <v>831.76</v>
      </c>
      <c r="B86" s="364">
        <f t="shared" si="48"/>
        <v>0.83175999999999994</v>
      </c>
      <c r="C86" s="337">
        <f t="shared" si="26"/>
        <v>1.9300014628052184</v>
      </c>
      <c r="D86" s="338">
        <f t="shared" si="27"/>
        <v>1.0261281366414186</v>
      </c>
      <c r="E86" s="338">
        <f t="shared" si="28"/>
        <v>1.0000007865894454</v>
      </c>
      <c r="F86" s="339">
        <f t="shared" si="29"/>
        <v>1.2542638715035887E-3</v>
      </c>
      <c r="G86" s="338">
        <f t="shared" si="30"/>
        <v>1</v>
      </c>
      <c r="H86" s="339">
        <f t="shared" si="31"/>
        <v>0</v>
      </c>
      <c r="I86" s="337">
        <f t="shared" si="32"/>
        <v>157.35269052688906</v>
      </c>
      <c r="J86" s="340">
        <f t="shared" si="33"/>
        <v>1.5644411337054334</v>
      </c>
      <c r="K86" s="348">
        <f t="shared" si="34"/>
        <v>1.010945236424067</v>
      </c>
      <c r="L86" s="349">
        <f t="shared" si="35"/>
        <v>0.14728427081102619</v>
      </c>
      <c r="M86" s="337">
        <f t="shared" si="36"/>
        <v>1.0000020191077126</v>
      </c>
      <c r="N86" s="340">
        <f t="shared" si="37"/>
        <v>2.0095294550292343E-3</v>
      </c>
      <c r="O86" s="341">
        <f t="shared" si="38"/>
        <v>0.99999982674767884</v>
      </c>
      <c r="P86" s="342">
        <f t="shared" si="39"/>
        <v>1.0184031727697362E-3</v>
      </c>
      <c r="Q86" s="343">
        <f t="shared" si="40"/>
        <v>52.477063714733312</v>
      </c>
      <c r="R86" s="344">
        <f t="shared" si="41"/>
        <v>-140.09154251509398</v>
      </c>
      <c r="S86" s="346">
        <f t="shared" si="42"/>
        <v>39.908457484906023</v>
      </c>
      <c r="U86" s="319">
        <f t="shared" si="49"/>
        <v>1000000000</v>
      </c>
      <c r="V86" s="319">
        <f t="shared" si="50"/>
        <v>691824.69759999996</v>
      </c>
      <c r="X86" s="345">
        <f t="shared" si="43"/>
        <v>53.864276003345502</v>
      </c>
      <c r="Y86" s="346">
        <f t="shared" si="44"/>
        <v>-81.312244801342572</v>
      </c>
      <c r="AA86" s="345">
        <f t="shared" si="45"/>
        <v>55.410834724304571</v>
      </c>
      <c r="AB86" s="346">
        <f t="shared" si="46"/>
        <v>-58.779297713751411</v>
      </c>
      <c r="AD86">
        <f t="shared" si="51"/>
        <v>0</v>
      </c>
      <c r="AE86">
        <f t="shared" si="47"/>
        <v>0</v>
      </c>
    </row>
    <row r="87" spans="1:31" x14ac:dyDescent="0.2">
      <c r="A87" s="347">
        <v>912.01</v>
      </c>
      <c r="B87" s="364">
        <f t="shared" si="48"/>
        <v>0.91200999999999999</v>
      </c>
      <c r="C87" s="337">
        <f t="shared" si="26"/>
        <v>2.0678686667156647</v>
      </c>
      <c r="D87" s="338">
        <f t="shared" si="27"/>
        <v>1.0660450996326463</v>
      </c>
      <c r="E87" s="338">
        <f t="shared" si="28"/>
        <v>1.0000009456952741</v>
      </c>
      <c r="F87" s="339">
        <f t="shared" si="29"/>
        <v>1.3752778110462632E-3</v>
      </c>
      <c r="G87" s="338">
        <f t="shared" si="30"/>
        <v>1</v>
      </c>
      <c r="H87" s="339">
        <f t="shared" si="31"/>
        <v>0</v>
      </c>
      <c r="I87" s="337">
        <f t="shared" si="32"/>
        <v>172.53383154263196</v>
      </c>
      <c r="J87" s="340">
        <f t="shared" si="33"/>
        <v>1.5650003296272028</v>
      </c>
      <c r="K87" s="348">
        <f t="shared" si="34"/>
        <v>1.0131447859623226</v>
      </c>
      <c r="L87" s="349">
        <f t="shared" si="35"/>
        <v>0.16126000717135006</v>
      </c>
      <c r="M87" s="337">
        <f t="shared" si="36"/>
        <v>1.0000024275184407</v>
      </c>
      <c r="N87" s="340">
        <f t="shared" si="37"/>
        <v>2.2034125941171523E-3</v>
      </c>
      <c r="O87" s="341">
        <f t="shared" si="38"/>
        <v>0.99999979170344533</v>
      </c>
      <c r="P87" s="342">
        <f t="shared" si="39"/>
        <v>1.116660987089281E-3</v>
      </c>
      <c r="Q87" s="343">
        <f t="shared" si="40"/>
        <v>51.096631358164693</v>
      </c>
      <c r="R87" s="344">
        <f t="shared" si="41"/>
        <v>-141.61970974007679</v>
      </c>
      <c r="S87" s="346">
        <f t="shared" si="42"/>
        <v>38.380290259923214</v>
      </c>
      <c r="U87" s="319">
        <f t="shared" si="49"/>
        <v>1000000000</v>
      </c>
      <c r="V87" s="319">
        <f t="shared" si="50"/>
        <v>831762.24009999994</v>
      </c>
      <c r="X87" s="345">
        <f t="shared" si="43"/>
        <v>53.083148249694332</v>
      </c>
      <c r="Y87" s="346">
        <f t="shared" si="44"/>
        <v>-80.554642343269592</v>
      </c>
      <c r="AA87" s="345">
        <f t="shared" si="45"/>
        <v>54.811530121387122</v>
      </c>
      <c r="AB87" s="346">
        <f t="shared" si="46"/>
        <v>-61.065067396807166</v>
      </c>
      <c r="AD87">
        <f t="shared" si="51"/>
        <v>0</v>
      </c>
      <c r="AE87">
        <f t="shared" si="47"/>
        <v>0</v>
      </c>
    </row>
    <row r="88" spans="1:31" x14ac:dyDescent="0.2">
      <c r="A88" s="347">
        <v>1000</v>
      </c>
      <c r="B88" s="364">
        <f t="shared" si="48"/>
        <v>1</v>
      </c>
      <c r="C88" s="337">
        <f t="shared" si="26"/>
        <v>2.2223237181056286</v>
      </c>
      <c r="D88" s="338">
        <f t="shared" si="27"/>
        <v>1.1040540014109788</v>
      </c>
      <c r="E88" s="338">
        <f t="shared" si="28"/>
        <v>1.0000011369777781</v>
      </c>
      <c r="F88" s="339">
        <f t="shared" si="29"/>
        <v>1.5079633289861801E-3</v>
      </c>
      <c r="G88" s="338">
        <f t="shared" si="30"/>
        <v>1</v>
      </c>
      <c r="H88" s="339">
        <f t="shared" si="31"/>
        <v>0</v>
      </c>
      <c r="I88" s="337">
        <f t="shared" si="32"/>
        <v>189.17922390311833</v>
      </c>
      <c r="J88" s="340">
        <f t="shared" si="33"/>
        <v>1.5655103094596958</v>
      </c>
      <c r="K88" s="348">
        <f t="shared" si="34"/>
        <v>1.0157828555482298</v>
      </c>
      <c r="L88" s="349">
        <f t="shared" si="35"/>
        <v>0.17651080012923853</v>
      </c>
      <c r="M88" s="337">
        <f t="shared" si="36"/>
        <v>1.0000029185237411</v>
      </c>
      <c r="N88" s="340">
        <f t="shared" si="37"/>
        <v>2.4159952992406975E-3</v>
      </c>
      <c r="O88" s="341">
        <f t="shared" si="38"/>
        <v>0.99999974957207827</v>
      </c>
      <c r="P88" s="342">
        <f t="shared" si="39"/>
        <v>1.2243956547353095E-3</v>
      </c>
      <c r="Q88" s="343">
        <f t="shared" si="40"/>
        <v>49.693545592662389</v>
      </c>
      <c r="R88" s="344">
        <f t="shared" si="41"/>
        <v>-142.9636235321459</v>
      </c>
      <c r="S88" s="346">
        <f t="shared" si="42"/>
        <v>37.036376467854097</v>
      </c>
      <c r="U88" s="319">
        <f t="shared" si="49"/>
        <v>1000000000</v>
      </c>
      <c r="V88" s="319">
        <f t="shared" si="50"/>
        <v>1000000</v>
      </c>
      <c r="X88" s="345">
        <f t="shared" si="43"/>
        <v>52.305747831406237</v>
      </c>
      <c r="Y88" s="346">
        <f t="shared" si="44"/>
        <v>-79.722236055443275</v>
      </c>
      <c r="AA88" s="345">
        <f t="shared" si="45"/>
        <v>54.185844774172914</v>
      </c>
      <c r="AB88" s="346">
        <f t="shared" si="46"/>
        <v>-63.241387476702613</v>
      </c>
      <c r="AD88">
        <f t="shared" si="51"/>
        <v>0</v>
      </c>
      <c r="AE88">
        <f t="shared" si="47"/>
        <v>0</v>
      </c>
    </row>
    <row r="89" spans="1:31" x14ac:dyDescent="0.2">
      <c r="A89" s="347">
        <v>1096.5</v>
      </c>
      <c r="B89" s="364">
        <f t="shared" si="48"/>
        <v>1.0965</v>
      </c>
      <c r="C89" s="337">
        <f t="shared" si="26"/>
        <v>2.3949059608359349</v>
      </c>
      <c r="D89" s="338">
        <f t="shared" si="27"/>
        <v>1.1400457543640814</v>
      </c>
      <c r="E89" s="338">
        <f t="shared" si="28"/>
        <v>1.0000013670021533</v>
      </c>
      <c r="F89" s="339">
        <f t="shared" si="29"/>
        <v>1.6534815366728546E-3</v>
      </c>
      <c r="G89" s="338">
        <f t="shared" si="30"/>
        <v>1</v>
      </c>
      <c r="H89" s="339">
        <f t="shared" si="31"/>
        <v>0</v>
      </c>
      <c r="I89" s="337">
        <f t="shared" si="32"/>
        <v>207.43453135708461</v>
      </c>
      <c r="J89" s="340">
        <f t="shared" si="33"/>
        <v>1.5659755099962309</v>
      </c>
      <c r="K89" s="348">
        <f t="shared" si="34"/>
        <v>1.0189461886402129</v>
      </c>
      <c r="L89" s="349">
        <f t="shared" si="35"/>
        <v>0.19314147486810962</v>
      </c>
      <c r="M89" s="337">
        <f t="shared" si="36"/>
        <v>1.0000035089758099</v>
      </c>
      <c r="N89" s="340">
        <f t="shared" si="37"/>
        <v>2.6491378028270802E-3</v>
      </c>
      <c r="O89" s="341">
        <f t="shared" si="38"/>
        <v>0.99999969890755602</v>
      </c>
      <c r="P89" s="342">
        <f t="shared" si="39"/>
        <v>1.3425499713018794E-3</v>
      </c>
      <c r="Q89" s="343">
        <f t="shared" si="40"/>
        <v>48.270775143330496</v>
      </c>
      <c r="R89" s="344">
        <f t="shared" si="41"/>
        <v>-144.11137587533463</v>
      </c>
      <c r="S89" s="346">
        <f t="shared" si="42"/>
        <v>35.88862412466537</v>
      </c>
      <c r="U89" s="319">
        <f t="shared" si="49"/>
        <v>1000000000</v>
      </c>
      <c r="V89" s="319">
        <f t="shared" si="50"/>
        <v>1202312.25</v>
      </c>
      <c r="X89" s="345">
        <f t="shared" si="43"/>
        <v>51.532597815403392</v>
      </c>
      <c r="Y89" s="346">
        <f t="shared" si="44"/>
        <v>-78.809380690259331</v>
      </c>
      <c r="AA89" s="345">
        <f t="shared" si="45"/>
        <v>53.536224340843873</v>
      </c>
      <c r="AB89" s="346">
        <f t="shared" si="46"/>
        <v>-65.301995185075256</v>
      </c>
      <c r="AD89">
        <f t="shared" si="51"/>
        <v>0</v>
      </c>
      <c r="AE89">
        <f t="shared" si="47"/>
        <v>0</v>
      </c>
    </row>
    <row r="90" spans="1:31" x14ac:dyDescent="0.2">
      <c r="A90" s="347">
        <v>1202.3</v>
      </c>
      <c r="B90" s="364">
        <f t="shared" si="48"/>
        <v>1.2022999999999999</v>
      </c>
      <c r="C90" s="337">
        <f t="shared" si="26"/>
        <v>2.5871844319241211</v>
      </c>
      <c r="D90" s="338">
        <f t="shared" si="27"/>
        <v>1.1739403671060622</v>
      </c>
      <c r="E90" s="338">
        <f t="shared" si="28"/>
        <v>1.0000016435297161</v>
      </c>
      <c r="F90" s="339">
        <f t="shared" si="29"/>
        <v>1.8130236981801597E-3</v>
      </c>
      <c r="G90" s="338">
        <f t="shared" si="30"/>
        <v>1</v>
      </c>
      <c r="H90" s="339">
        <f t="shared" si="31"/>
        <v>0</v>
      </c>
      <c r="I90" s="337">
        <f t="shared" si="32"/>
        <v>227.44920150567697</v>
      </c>
      <c r="J90" s="340">
        <f t="shared" si="33"/>
        <v>1.5663997265207708</v>
      </c>
      <c r="K90" s="348">
        <f t="shared" si="34"/>
        <v>1.022736091037423</v>
      </c>
      <c r="L90" s="349">
        <f t="shared" si="35"/>
        <v>0.21125109079114993</v>
      </c>
      <c r="M90" s="337">
        <f t="shared" si="36"/>
        <v>1.0000042187971343</v>
      </c>
      <c r="N90" s="340">
        <f t="shared" si="37"/>
        <v>2.9047486303043499E-3</v>
      </c>
      <c r="O90" s="341">
        <f t="shared" si="38"/>
        <v>0.9999996380004077</v>
      </c>
      <c r="P90" s="342">
        <f t="shared" si="39"/>
        <v>1.4720912238021875E-3</v>
      </c>
      <c r="Q90" s="343">
        <f t="shared" si="40"/>
        <v>46.832172837124091</v>
      </c>
      <c r="R90" s="344">
        <f t="shared" si="41"/>
        <v>-145.05302188636381</v>
      </c>
      <c r="S90" s="346">
        <f t="shared" si="42"/>
        <v>34.946978113636192</v>
      </c>
      <c r="U90" s="319">
        <f t="shared" si="49"/>
        <v>1000000000</v>
      </c>
      <c r="V90" s="319">
        <f t="shared" si="50"/>
        <v>1445525.2899999998</v>
      </c>
      <c r="X90" s="345">
        <f t="shared" si="43"/>
        <v>50.764771064659236</v>
      </c>
      <c r="Y90" s="346">
        <f t="shared" si="44"/>
        <v>-77.810727366193234</v>
      </c>
      <c r="AA90" s="345">
        <f t="shared" si="45"/>
        <v>52.865448785381624</v>
      </c>
      <c r="AB90" s="346">
        <f t="shared" si="46"/>
        <v>-67.242294520170574</v>
      </c>
      <c r="AD90">
        <f t="shared" si="51"/>
        <v>0</v>
      </c>
      <c r="AE90">
        <f t="shared" ref="AE90:AE153" si="52">IF(AD90&gt;0,S90,0)</f>
        <v>0</v>
      </c>
    </row>
    <row r="91" spans="1:31" x14ac:dyDescent="0.2">
      <c r="A91" s="347">
        <v>1318.3</v>
      </c>
      <c r="B91" s="364">
        <f t="shared" si="48"/>
        <v>1.3183</v>
      </c>
      <c r="C91" s="337">
        <f t="shared" si="26"/>
        <v>2.8009221413508811</v>
      </c>
      <c r="D91" s="338">
        <f t="shared" si="27"/>
        <v>1.2057149858596086</v>
      </c>
      <c r="E91" s="338">
        <f t="shared" si="28"/>
        <v>1.0000019759697811</v>
      </c>
      <c r="F91" s="339">
        <f t="shared" si="29"/>
        <v>1.9879469446890466E-3</v>
      </c>
      <c r="G91" s="338">
        <f t="shared" si="30"/>
        <v>1</v>
      </c>
      <c r="H91" s="339">
        <f t="shared" si="31"/>
        <v>0</v>
      </c>
      <c r="I91" s="337">
        <f t="shared" si="32"/>
        <v>249.39349145696804</v>
      </c>
      <c r="J91" s="340">
        <f t="shared" si="33"/>
        <v>1.5667865883136312</v>
      </c>
      <c r="K91" s="348">
        <f t="shared" si="34"/>
        <v>1.027273785984558</v>
      </c>
      <c r="L91" s="349">
        <f t="shared" si="35"/>
        <v>0.23094586209642942</v>
      </c>
      <c r="M91" s="337">
        <f t="shared" si="36"/>
        <v>1.0000050721404048</v>
      </c>
      <c r="N91" s="340">
        <f t="shared" si="37"/>
        <v>3.1850020301501629E-3</v>
      </c>
      <c r="O91" s="341">
        <f t="shared" si="38"/>
        <v>0.99999956477818697</v>
      </c>
      <c r="P91" s="342">
        <f t="shared" si="39"/>
        <v>1.6141213875191472E-3</v>
      </c>
      <c r="Q91" s="343">
        <f t="shared" si="40"/>
        <v>45.381134504305422</v>
      </c>
      <c r="R91" s="344">
        <f t="shared" si="41"/>
        <v>-145.78148441331572</v>
      </c>
      <c r="S91" s="346">
        <f t="shared" si="42"/>
        <v>34.218515586684276</v>
      </c>
      <c r="U91" s="319">
        <f t="shared" si="49"/>
        <v>1000000000</v>
      </c>
      <c r="V91" s="319">
        <f t="shared" si="50"/>
        <v>1737914.89</v>
      </c>
      <c r="X91" s="345">
        <f t="shared" si="43"/>
        <v>50.003202156976613</v>
      </c>
      <c r="Y91" s="346">
        <f t="shared" si="44"/>
        <v>-76.720522975670747</v>
      </c>
      <c r="AA91" s="345">
        <f t="shared" si="45"/>
        <v>52.17597936024557</v>
      </c>
      <c r="AB91" s="346">
        <f t="shared" si="46"/>
        <v>-69.060961437644991</v>
      </c>
      <c r="AD91">
        <f t="shared" si="51"/>
        <v>0</v>
      </c>
      <c r="AE91">
        <f t="shared" si="52"/>
        <v>0</v>
      </c>
    </row>
    <row r="92" spans="1:31" x14ac:dyDescent="0.2">
      <c r="A92" s="347">
        <v>1445.4</v>
      </c>
      <c r="B92" s="364">
        <f t="shared" si="48"/>
        <v>1.4454</v>
      </c>
      <c r="C92" s="337">
        <f t="shared" si="26"/>
        <v>3.0378784169436943</v>
      </c>
      <c r="D92" s="338">
        <f t="shared" si="27"/>
        <v>1.2353643552684175</v>
      </c>
      <c r="E92" s="338">
        <f t="shared" si="28"/>
        <v>1.0000023753510825</v>
      </c>
      <c r="F92" s="339">
        <f t="shared" si="29"/>
        <v>2.1796083962722979E-3</v>
      </c>
      <c r="G92" s="338">
        <f t="shared" si="30"/>
        <v>1</v>
      </c>
      <c r="H92" s="339">
        <f t="shared" si="31"/>
        <v>0</v>
      </c>
      <c r="I92" s="337">
        <f t="shared" si="32"/>
        <v>273.43765859242586</v>
      </c>
      <c r="J92" s="340">
        <f t="shared" si="33"/>
        <v>1.5671391779066484</v>
      </c>
      <c r="K92" s="348">
        <f t="shared" si="34"/>
        <v>1.0326988432641109</v>
      </c>
      <c r="L92" s="349">
        <f t="shared" si="35"/>
        <v>0.25231728206881882</v>
      </c>
      <c r="M92" s="337">
        <f t="shared" si="36"/>
        <v>1.0000060973151239</v>
      </c>
      <c r="N92" s="340">
        <f t="shared" si="37"/>
        <v>3.4920722051597713E-3</v>
      </c>
      <c r="O92" s="341">
        <f t="shared" si="38"/>
        <v>0.99999947681177048</v>
      </c>
      <c r="P92" s="342">
        <f t="shared" si="39"/>
        <v>1.769742443688678E-3</v>
      </c>
      <c r="Q92" s="343">
        <f t="shared" si="40"/>
        <v>43.922028266060344</v>
      </c>
      <c r="R92" s="344">
        <f t="shared" si="41"/>
        <v>-146.29150673770135</v>
      </c>
      <c r="S92" s="346">
        <f t="shared" si="42"/>
        <v>33.708493262298646</v>
      </c>
      <c r="U92" s="319">
        <f t="shared" si="49"/>
        <v>1000000000</v>
      </c>
      <c r="V92" s="319">
        <f t="shared" si="50"/>
        <v>2089181.1600000001</v>
      </c>
      <c r="X92" s="345">
        <f t="shared" si="43"/>
        <v>49.249478719640223</v>
      </c>
      <c r="Y92" s="346">
        <f t="shared" si="44"/>
        <v>-75.533826528317732</v>
      </c>
      <c r="AA92" s="345">
        <f t="shared" si="45"/>
        <v>51.470596559336883</v>
      </c>
      <c r="AB92" s="346">
        <f t="shared" si="46"/>
        <v>-70.757680209383622</v>
      </c>
      <c r="AD92">
        <f t="shared" si="51"/>
        <v>0</v>
      </c>
      <c r="AE92">
        <f t="shared" si="52"/>
        <v>0</v>
      </c>
    </row>
    <row r="93" spans="1:31" x14ac:dyDescent="0.2">
      <c r="A93" s="347">
        <v>1584.9</v>
      </c>
      <c r="B93" s="364">
        <f t="shared" si="48"/>
        <v>1.5849000000000002</v>
      </c>
      <c r="C93" s="337">
        <f t="shared" si="26"/>
        <v>3.3005619399629227</v>
      </c>
      <c r="D93" s="338">
        <f t="shared" si="27"/>
        <v>1.2629795961400081</v>
      </c>
      <c r="E93" s="338">
        <f t="shared" si="28"/>
        <v>1.0000028559811331</v>
      </c>
      <c r="F93" s="339">
        <f t="shared" si="29"/>
        <v>2.3899683412035729E-3</v>
      </c>
      <c r="G93" s="338">
        <f t="shared" si="30"/>
        <v>1</v>
      </c>
      <c r="H93" s="339">
        <f t="shared" si="31"/>
        <v>0</v>
      </c>
      <c r="I93" s="337">
        <f t="shared" si="32"/>
        <v>299.82763067932325</v>
      </c>
      <c r="J93" s="340">
        <f t="shared" si="33"/>
        <v>1.5674610709623196</v>
      </c>
      <c r="K93" s="348">
        <f t="shared" si="34"/>
        <v>1.0391900091587973</v>
      </c>
      <c r="L93" s="349">
        <f t="shared" si="35"/>
        <v>0.27550506026675342</v>
      </c>
      <c r="M93" s="337">
        <f t="shared" si="36"/>
        <v>1.0000073310469886</v>
      </c>
      <c r="N93" s="340">
        <f t="shared" si="37"/>
        <v>3.8290996857980931E-3</v>
      </c>
      <c r="O93" s="341">
        <f t="shared" si="38"/>
        <v>0.99999937094987734</v>
      </c>
      <c r="P93" s="342">
        <f t="shared" si="39"/>
        <v>1.9405461409891735E-3</v>
      </c>
      <c r="Q93" s="343">
        <f t="shared" si="40"/>
        <v>42.455831583421045</v>
      </c>
      <c r="R93" s="344">
        <f t="shared" si="41"/>
        <v>-146.58066862290639</v>
      </c>
      <c r="S93" s="346">
        <f t="shared" si="42"/>
        <v>33.419331377093613</v>
      </c>
      <c r="U93" s="319">
        <f t="shared" si="49"/>
        <v>1000000000</v>
      </c>
      <c r="V93" s="319">
        <f t="shared" si="50"/>
        <v>2511908.0100000002</v>
      </c>
      <c r="X93" s="345">
        <f t="shared" si="43"/>
        <v>48.5036269220398</v>
      </c>
      <c r="Y93" s="346">
        <f t="shared" si="44"/>
        <v>-74.243018065580699</v>
      </c>
      <c r="AA93" s="345">
        <f t="shared" si="45"/>
        <v>50.750251674298006</v>
      </c>
      <c r="AB93" s="346">
        <f t="shared" si="46"/>
        <v>-72.337650557325702</v>
      </c>
      <c r="AD93">
        <f t="shared" si="51"/>
        <v>0</v>
      </c>
      <c r="AE93">
        <f t="shared" si="52"/>
        <v>0</v>
      </c>
    </row>
    <row r="94" spans="1:31" x14ac:dyDescent="0.2">
      <c r="A94" s="347">
        <v>1737.8</v>
      </c>
      <c r="B94" s="364">
        <f t="shared" si="48"/>
        <v>1.7378</v>
      </c>
      <c r="C94" s="337">
        <f t="shared" si="26"/>
        <v>3.5909248214452822</v>
      </c>
      <c r="D94" s="338">
        <f t="shared" si="27"/>
        <v>1.2885854019559968</v>
      </c>
      <c r="E94" s="338">
        <f t="shared" si="28"/>
        <v>1.000003433610779</v>
      </c>
      <c r="F94" s="339">
        <f t="shared" si="29"/>
        <v>2.6205346608449147E-3</v>
      </c>
      <c r="G94" s="338">
        <f t="shared" si="30"/>
        <v>1</v>
      </c>
      <c r="H94" s="339">
        <f t="shared" si="31"/>
        <v>0</v>
      </c>
      <c r="I94" s="337">
        <f t="shared" si="32"/>
        <v>328.75258317179657</v>
      </c>
      <c r="J94" s="340">
        <f t="shared" si="33"/>
        <v>1.5677545209102071</v>
      </c>
      <c r="K94" s="348">
        <f t="shared" si="34"/>
        <v>1.0469379625479258</v>
      </c>
      <c r="L94" s="349">
        <f t="shared" si="35"/>
        <v>0.30057491008691323</v>
      </c>
      <c r="M94" s="337">
        <f t="shared" si="36"/>
        <v>1.0000088137664069</v>
      </c>
      <c r="N94" s="340">
        <f t="shared" si="37"/>
        <v>4.1985001302743095E-3</v>
      </c>
      <c r="O94" s="341">
        <f t="shared" si="38"/>
        <v>0.99999924372334714</v>
      </c>
      <c r="P94" s="342">
        <f t="shared" si="39"/>
        <v>2.1277569190024438E-3</v>
      </c>
      <c r="Q94" s="343">
        <f t="shared" si="40"/>
        <v>40.988025594397044</v>
      </c>
      <c r="R94" s="344">
        <f t="shared" si="41"/>
        <v>-146.64687107992501</v>
      </c>
      <c r="S94" s="346">
        <f t="shared" si="42"/>
        <v>33.353128920074994</v>
      </c>
      <c r="U94" s="319">
        <f t="shared" si="49"/>
        <v>1000000000</v>
      </c>
      <c r="V94" s="319">
        <f t="shared" si="50"/>
        <v>3019948.84</v>
      </c>
      <c r="X94" s="345">
        <f t="shared" si="43"/>
        <v>47.768183322957334</v>
      </c>
      <c r="Y94" s="346">
        <f t="shared" si="44"/>
        <v>-72.844600006191826</v>
      </c>
      <c r="AA94" s="345">
        <f t="shared" si="45"/>
        <v>50.017889284356471</v>
      </c>
      <c r="AB94" s="346">
        <f t="shared" si="46"/>
        <v>-73.802271073733166</v>
      </c>
      <c r="AD94">
        <f t="shared" si="51"/>
        <v>0</v>
      </c>
      <c r="AE94">
        <f t="shared" si="52"/>
        <v>0</v>
      </c>
    </row>
    <row r="95" spans="1:31" x14ac:dyDescent="0.2">
      <c r="A95" s="347">
        <v>1905.5</v>
      </c>
      <c r="B95" s="364">
        <f t="shared" si="48"/>
        <v>1.9055</v>
      </c>
      <c r="C95" s="337">
        <f t="shared" si="26"/>
        <v>3.9116783389023935</v>
      </c>
      <c r="D95" s="338">
        <f t="shared" si="27"/>
        <v>1.312281779616141</v>
      </c>
      <c r="E95" s="338">
        <f t="shared" si="28"/>
        <v>1.0000041282808334</v>
      </c>
      <c r="F95" s="339">
        <f t="shared" si="29"/>
        <v>2.8734183932117023E-3</v>
      </c>
      <c r="G95" s="338">
        <f t="shared" si="30"/>
        <v>1</v>
      </c>
      <c r="H95" s="339">
        <f t="shared" si="31"/>
        <v>0</v>
      </c>
      <c r="I95" s="337">
        <f t="shared" si="32"/>
        <v>360.47736193497104</v>
      </c>
      <c r="J95" s="340">
        <f t="shared" si="33"/>
        <v>1.5680222239296262</v>
      </c>
      <c r="K95" s="348">
        <f t="shared" si="34"/>
        <v>1.0561805502223585</v>
      </c>
      <c r="L95" s="349">
        <f t="shared" si="35"/>
        <v>0.32762953986917415</v>
      </c>
      <c r="M95" s="337">
        <f t="shared" si="36"/>
        <v>1.0000105969154534</v>
      </c>
      <c r="N95" s="340">
        <f t="shared" si="37"/>
        <v>4.6036554769795773E-3</v>
      </c>
      <c r="O95" s="341">
        <f t="shared" si="38"/>
        <v>0.99999909071816051</v>
      </c>
      <c r="P95" s="342">
        <f t="shared" si="39"/>
        <v>2.333088990941372E-3</v>
      </c>
      <c r="Q95" s="343">
        <f t="shared" si="40"/>
        <v>39.521048938160206</v>
      </c>
      <c r="R95" s="344">
        <f t="shared" si="41"/>
        <v>-146.49028484174559</v>
      </c>
      <c r="S95" s="346">
        <f t="shared" si="42"/>
        <v>33.509715158254409</v>
      </c>
      <c r="U95" s="319">
        <f t="shared" si="49"/>
        <v>1000000000</v>
      </c>
      <c r="V95" s="319">
        <f t="shared" si="50"/>
        <v>3630930.25</v>
      </c>
      <c r="X95" s="345">
        <f t="shared" si="43"/>
        <v>47.044335747316367</v>
      </c>
      <c r="Y95" s="346">
        <f t="shared" si="44"/>
        <v>-71.333035846241117</v>
      </c>
      <c r="AA95" s="345">
        <f t="shared" si="45"/>
        <v>49.274760203760607</v>
      </c>
      <c r="AB95" s="346">
        <f t="shared" si="46"/>
        <v>-75.15724899550446</v>
      </c>
      <c r="AD95">
        <f t="shared" si="51"/>
        <v>0</v>
      </c>
      <c r="AE95">
        <f t="shared" si="52"/>
        <v>0</v>
      </c>
    </row>
    <row r="96" spans="1:31" x14ac:dyDescent="0.2">
      <c r="A96" s="347">
        <v>2089.3000000000002</v>
      </c>
      <c r="B96" s="364">
        <f t="shared" si="48"/>
        <v>2.0893000000000002</v>
      </c>
      <c r="C96" s="337">
        <f t="shared" si="26"/>
        <v>4.2653501483916472</v>
      </c>
      <c r="D96" s="338">
        <f t="shared" si="27"/>
        <v>1.3341463017569521</v>
      </c>
      <c r="E96" s="338">
        <f t="shared" si="28"/>
        <v>1.0000049630968977</v>
      </c>
      <c r="F96" s="339">
        <f t="shared" si="29"/>
        <v>3.1505797469296134E-3</v>
      </c>
      <c r="G96" s="338">
        <f t="shared" si="30"/>
        <v>1</v>
      </c>
      <c r="H96" s="339">
        <f t="shared" si="31"/>
        <v>0</v>
      </c>
      <c r="I96" s="337">
        <f t="shared" si="32"/>
        <v>395.24789548081583</v>
      </c>
      <c r="J96" s="340">
        <f t="shared" si="33"/>
        <v>1.568266266348523</v>
      </c>
      <c r="K96" s="348">
        <f t="shared" si="34"/>
        <v>1.0671818942347093</v>
      </c>
      <c r="L96" s="349">
        <f t="shared" si="35"/>
        <v>0.35671961289805898</v>
      </c>
      <c r="M96" s="337">
        <f t="shared" si="36"/>
        <v>1.0000127398028227</v>
      </c>
      <c r="N96" s="340">
        <f t="shared" si="37"/>
        <v>5.0477059288327117E-3</v>
      </c>
      <c r="O96" s="341">
        <f t="shared" si="38"/>
        <v>0.9999989068453089</v>
      </c>
      <c r="P96" s="342">
        <f t="shared" si="39"/>
        <v>2.5581341481692231E-3</v>
      </c>
      <c r="Q96" s="343">
        <f t="shared" si="40"/>
        <v>38.059382355112916</v>
      </c>
      <c r="R96" s="344">
        <f t="shared" si="41"/>
        <v>-146.11273005007436</v>
      </c>
      <c r="S96" s="346">
        <f t="shared" si="42"/>
        <v>33.887269949925638</v>
      </c>
      <c r="U96" s="319">
        <f t="shared" si="49"/>
        <v>1000000000</v>
      </c>
      <c r="V96" s="319">
        <f t="shared" si="50"/>
        <v>4365174.4900000012</v>
      </c>
      <c r="X96" s="345">
        <f t="shared" si="43"/>
        <v>46.334491389347093</v>
      </c>
      <c r="Y96" s="346">
        <f t="shared" si="44"/>
        <v>-69.705722251506216</v>
      </c>
      <c r="AA96" s="345">
        <f t="shared" si="45"/>
        <v>48.522937978682577</v>
      </c>
      <c r="AB96" s="346">
        <f t="shared" si="46"/>
        <v>-76.407007798568188</v>
      </c>
      <c r="AD96">
        <f t="shared" si="51"/>
        <v>0</v>
      </c>
      <c r="AE96">
        <f t="shared" si="52"/>
        <v>0</v>
      </c>
    </row>
    <row r="97" spans="1:31" x14ac:dyDescent="0.2">
      <c r="A97" s="347">
        <v>2290.9</v>
      </c>
      <c r="B97" s="364">
        <f t="shared" si="48"/>
        <v>2.2909000000000002</v>
      </c>
      <c r="C97" s="337">
        <f t="shared" si="26"/>
        <v>4.6552437485784042</v>
      </c>
      <c r="D97" s="338">
        <f t="shared" si="27"/>
        <v>1.3542974830205332</v>
      </c>
      <c r="E97" s="338">
        <f t="shared" si="28"/>
        <v>1.0000059670982984</v>
      </c>
      <c r="F97" s="339">
        <f t="shared" si="29"/>
        <v>3.4545820663536876E-3</v>
      </c>
      <c r="G97" s="338">
        <f t="shared" si="30"/>
        <v>1</v>
      </c>
      <c r="H97" s="339">
        <f t="shared" si="31"/>
        <v>0</v>
      </c>
      <c r="I97" s="337">
        <f t="shared" si="32"/>
        <v>433.38578286504622</v>
      </c>
      <c r="J97" s="340">
        <f t="shared" si="33"/>
        <v>1.5684889117229244</v>
      </c>
      <c r="K97" s="348">
        <f t="shared" si="34"/>
        <v>1.0802644165080559</v>
      </c>
      <c r="L97" s="349">
        <f t="shared" si="35"/>
        <v>0.38791620250301106</v>
      </c>
      <c r="M97" s="337">
        <f t="shared" si="36"/>
        <v>1.0000153169679165</v>
      </c>
      <c r="N97" s="340">
        <f t="shared" si="37"/>
        <v>5.5347578828895769E-3</v>
      </c>
      <c r="O97" s="341">
        <f t="shared" si="38"/>
        <v>0.99999868570891781</v>
      </c>
      <c r="P97" s="342">
        <f t="shared" si="39"/>
        <v>2.8049739668941408E-3</v>
      </c>
      <c r="Q97" s="343">
        <f t="shared" si="40"/>
        <v>36.605346442880311</v>
      </c>
      <c r="R97" s="344">
        <f t="shared" si="41"/>
        <v>-145.51726226005073</v>
      </c>
      <c r="S97" s="346">
        <f t="shared" si="42"/>
        <v>34.482737739949272</v>
      </c>
      <c r="U97" s="319">
        <f t="shared" si="49"/>
        <v>1000000000</v>
      </c>
      <c r="V97" s="319">
        <f t="shared" si="50"/>
        <v>5248222.8100000005</v>
      </c>
      <c r="X97" s="345">
        <f t="shared" si="43"/>
        <v>45.64019957138634</v>
      </c>
      <c r="Y97" s="346">
        <f t="shared" si="44"/>
        <v>-67.958951991597161</v>
      </c>
      <c r="AA97" s="345">
        <f t="shared" si="45"/>
        <v>47.763193884410732</v>
      </c>
      <c r="AB97" s="346">
        <f t="shared" si="46"/>
        <v>-77.558310268453553</v>
      </c>
      <c r="AD97">
        <f t="shared" si="51"/>
        <v>0</v>
      </c>
      <c r="AE97">
        <f t="shared" si="52"/>
        <v>0</v>
      </c>
    </row>
    <row r="98" spans="1:31" x14ac:dyDescent="0.2">
      <c r="A98" s="347">
        <v>2511.9</v>
      </c>
      <c r="B98" s="364">
        <f t="shared" si="48"/>
        <v>2.5119000000000002</v>
      </c>
      <c r="C98" s="337">
        <f t="shared" si="26"/>
        <v>5.0844791954530226</v>
      </c>
      <c r="D98" s="338">
        <f t="shared" si="27"/>
        <v>1.372828785032959</v>
      </c>
      <c r="E98" s="338">
        <f t="shared" si="28"/>
        <v>1.0000071739006438</v>
      </c>
      <c r="F98" s="339">
        <f t="shared" si="29"/>
        <v>3.7878378415062458E-3</v>
      </c>
      <c r="G98" s="338">
        <f t="shared" si="30"/>
        <v>1</v>
      </c>
      <c r="H98" s="339">
        <f t="shared" si="31"/>
        <v>0</v>
      </c>
      <c r="I98" s="337">
        <f t="shared" si="32"/>
        <v>475.19370573696591</v>
      </c>
      <c r="J98" s="340">
        <f t="shared" si="33"/>
        <v>1.5686919202633807</v>
      </c>
      <c r="K98" s="348">
        <f t="shared" si="34"/>
        <v>1.0957828464749058</v>
      </c>
      <c r="L98" s="349">
        <f t="shared" si="35"/>
        <v>0.4212229841128472</v>
      </c>
      <c r="M98" s="337">
        <f t="shared" si="36"/>
        <v>1.0000184146961582</v>
      </c>
      <c r="N98" s="340">
        <f t="shared" si="37"/>
        <v>6.0686758981638982E-3</v>
      </c>
      <c r="O98" s="341">
        <f t="shared" si="38"/>
        <v>0.9999984199052655</v>
      </c>
      <c r="P98" s="342">
        <f t="shared" si="39"/>
        <v>3.0755676148425874E-3</v>
      </c>
      <c r="Q98" s="343">
        <f t="shared" si="40"/>
        <v>35.163219498387882</v>
      </c>
      <c r="R98" s="344">
        <f t="shared" si="41"/>
        <v>-144.70932214394463</v>
      </c>
      <c r="S98" s="346">
        <f t="shared" si="42"/>
        <v>35.290677856055368</v>
      </c>
      <c r="U98" s="319">
        <f t="shared" si="49"/>
        <v>1000000000</v>
      </c>
      <c r="V98" s="319">
        <f t="shared" si="50"/>
        <v>6309641.6100000003</v>
      </c>
      <c r="X98" s="345">
        <f t="shared" si="43"/>
        <v>44.964140817369625</v>
      </c>
      <c r="Y98" s="346">
        <f t="shared" si="44"/>
        <v>-66.092836755511726</v>
      </c>
      <c r="AA98" s="345">
        <f t="shared" si="45"/>
        <v>46.997125693935018</v>
      </c>
      <c r="AB98" s="346">
        <f t="shared" si="46"/>
        <v>-78.616485388432892</v>
      </c>
      <c r="AD98">
        <f t="shared" si="51"/>
        <v>0</v>
      </c>
      <c r="AE98">
        <f t="shared" si="52"/>
        <v>0</v>
      </c>
    </row>
    <row r="99" spans="1:31" x14ac:dyDescent="0.2">
      <c r="A99" s="347">
        <v>2754.2</v>
      </c>
      <c r="B99" s="364">
        <f t="shared" si="48"/>
        <v>2.7542</v>
      </c>
      <c r="C99" s="337">
        <f t="shared" si="26"/>
        <v>5.5567656467849407</v>
      </c>
      <c r="D99" s="338">
        <f t="shared" si="27"/>
        <v>1.38984972469486</v>
      </c>
      <c r="E99" s="338">
        <f t="shared" si="28"/>
        <v>1.0000086246464002</v>
      </c>
      <c r="F99" s="339">
        <f t="shared" si="29"/>
        <v>4.1532118688000696E-3</v>
      </c>
      <c r="G99" s="338">
        <f t="shared" si="30"/>
        <v>1</v>
      </c>
      <c r="H99" s="339">
        <f t="shared" si="31"/>
        <v>0</v>
      </c>
      <c r="I99" s="337">
        <f t="shared" si="32"/>
        <v>521.03109871904701</v>
      </c>
      <c r="J99" s="340">
        <f t="shared" si="33"/>
        <v>1.5688770543821882</v>
      </c>
      <c r="K99" s="348">
        <f t="shared" si="34"/>
        <v>1.1141521355318016</v>
      </c>
      <c r="L99" s="349">
        <f t="shared" si="35"/>
        <v>0.45663004114920114</v>
      </c>
      <c r="M99" s="337">
        <f t="shared" si="36"/>
        <v>1.0000221385924211</v>
      </c>
      <c r="N99" s="340">
        <f t="shared" si="37"/>
        <v>6.6540489925534067E-3</v>
      </c>
      <c r="O99" s="341">
        <f t="shared" si="38"/>
        <v>0.99999810037295123</v>
      </c>
      <c r="P99" s="342">
        <f t="shared" si="39"/>
        <v>3.3722416227098605E-3</v>
      </c>
      <c r="Q99" s="343">
        <f t="shared" si="40"/>
        <v>33.736231063943286</v>
      </c>
      <c r="R99" s="344">
        <f t="shared" si="41"/>
        <v>-143.69608580583346</v>
      </c>
      <c r="S99" s="346">
        <f t="shared" si="42"/>
        <v>36.303914194166538</v>
      </c>
      <c r="U99" s="319">
        <f t="shared" si="49"/>
        <v>1000000000</v>
      </c>
      <c r="V99" s="319">
        <f t="shared" si="50"/>
        <v>7585617.6399999987</v>
      </c>
      <c r="X99" s="345">
        <f t="shared" si="43"/>
        <v>44.308649135125329</v>
      </c>
      <c r="Y99" s="346">
        <f t="shared" si="44"/>
        <v>-64.108308631482586</v>
      </c>
      <c r="AA99" s="345">
        <f t="shared" si="45"/>
        <v>46.225628941734712</v>
      </c>
      <c r="AB99" s="346">
        <f t="shared" si="46"/>
        <v>-79.58777717435089</v>
      </c>
      <c r="AD99">
        <f t="shared" si="51"/>
        <v>0</v>
      </c>
      <c r="AE99">
        <f t="shared" si="52"/>
        <v>0</v>
      </c>
    </row>
    <row r="100" spans="1:31" x14ac:dyDescent="0.2">
      <c r="A100" s="347">
        <v>3020</v>
      </c>
      <c r="B100" s="364">
        <f t="shared" si="48"/>
        <v>3.02</v>
      </c>
      <c r="C100" s="337">
        <f t="shared" si="26"/>
        <v>6.076407374966168</v>
      </c>
      <c r="D100" s="338">
        <f t="shared" si="27"/>
        <v>1.4054733345455905</v>
      </c>
      <c r="E100" s="338">
        <f t="shared" si="28"/>
        <v>1.0000103696442573</v>
      </c>
      <c r="F100" s="339">
        <f t="shared" si="29"/>
        <v>4.5540212230642009E-3</v>
      </c>
      <c r="G100" s="338">
        <f t="shared" si="30"/>
        <v>1</v>
      </c>
      <c r="H100" s="339">
        <f t="shared" si="31"/>
        <v>0</v>
      </c>
      <c r="I100" s="337">
        <f t="shared" si="32"/>
        <v>571.31414945856932</v>
      </c>
      <c r="J100" s="340">
        <f t="shared" si="33"/>
        <v>1.5690459754136652</v>
      </c>
      <c r="K100" s="348">
        <f t="shared" si="34"/>
        <v>1.1358537712709242</v>
      </c>
      <c r="L100" s="349">
        <f t="shared" si="35"/>
        <v>0.49410182420794252</v>
      </c>
      <c r="M100" s="337">
        <f t="shared" si="36"/>
        <v>1.0000266177885178</v>
      </c>
      <c r="N100" s="340">
        <f t="shared" si="37"/>
        <v>7.2961905278105688E-3</v>
      </c>
      <c r="O100" s="341">
        <f t="shared" si="38"/>
        <v>0.99999771603189136</v>
      </c>
      <c r="P100" s="342">
        <f t="shared" si="39"/>
        <v>3.6976898991529683E-3</v>
      </c>
      <c r="Q100" s="343">
        <f t="shared" si="40"/>
        <v>32.327046489599439</v>
      </c>
      <c r="R100" s="344">
        <f t="shared" si="41"/>
        <v>-142.48643027985761</v>
      </c>
      <c r="S100" s="346">
        <f t="shared" si="42"/>
        <v>37.513569720142385</v>
      </c>
      <c r="U100" s="319">
        <f t="shared" si="49"/>
        <v>1000000000</v>
      </c>
      <c r="V100" s="319">
        <f t="shared" si="50"/>
        <v>9120400</v>
      </c>
      <c r="X100" s="345">
        <f t="shared" si="43"/>
        <v>43.675942087812452</v>
      </c>
      <c r="Y100" s="346">
        <f t="shared" si="44"/>
        <v>-62.007804070981635</v>
      </c>
      <c r="AA100" s="345">
        <f t="shared" si="45"/>
        <v>45.449151414703735</v>
      </c>
      <c r="AB100" s="346">
        <f t="shared" si="46"/>
        <v>-80.478626208876022</v>
      </c>
      <c r="AD100">
        <f t="shared" si="51"/>
        <v>0</v>
      </c>
      <c r="AE100">
        <f t="shared" si="52"/>
        <v>0</v>
      </c>
    </row>
    <row r="101" spans="1:31" x14ac:dyDescent="0.2">
      <c r="A101" s="347">
        <v>3311.3</v>
      </c>
      <c r="B101" s="364">
        <f t="shared" si="48"/>
        <v>3.3113000000000001</v>
      </c>
      <c r="C101" s="337">
        <f t="shared" si="26"/>
        <v>6.6473260162103065</v>
      </c>
      <c r="D101" s="338">
        <f t="shared" si="27"/>
        <v>1.4197866141734798</v>
      </c>
      <c r="E101" s="338">
        <f t="shared" si="28"/>
        <v>1.0000124665583658</v>
      </c>
      <c r="F101" s="339">
        <f t="shared" si="29"/>
        <v>4.9932812567960285E-3</v>
      </c>
      <c r="G101" s="338">
        <f t="shared" si="30"/>
        <v>1</v>
      </c>
      <c r="H101" s="339">
        <f t="shared" si="31"/>
        <v>0</v>
      </c>
      <c r="I101" s="337">
        <f t="shared" si="32"/>
        <v>626.42121048090246</v>
      </c>
      <c r="J101" s="340">
        <f t="shared" si="33"/>
        <v>1.5691999561612049</v>
      </c>
      <c r="K101" s="348">
        <f t="shared" si="34"/>
        <v>1.1613957498454071</v>
      </c>
      <c r="L101" s="349">
        <f t="shared" si="35"/>
        <v>0.53349897779074928</v>
      </c>
      <c r="M101" s="337">
        <f t="shared" si="36"/>
        <v>1.0000320002943957</v>
      </c>
      <c r="N101" s="340">
        <f t="shared" si="37"/>
        <v>7.9999301334357648E-3</v>
      </c>
      <c r="O101" s="341">
        <f t="shared" si="38"/>
        <v>0.99999725418224539</v>
      </c>
      <c r="P101" s="342">
        <f t="shared" si="39"/>
        <v>4.0543615431921079E-3</v>
      </c>
      <c r="Q101" s="343">
        <f t="shared" si="40"/>
        <v>30.94034670082868</v>
      </c>
      <c r="R101" s="344">
        <f t="shared" si="41"/>
        <v>-141.09364195688391</v>
      </c>
      <c r="S101" s="346">
        <f t="shared" si="42"/>
        <v>38.906358043116086</v>
      </c>
      <c r="U101" s="319">
        <f t="shared" si="49"/>
        <v>1000000000</v>
      </c>
      <c r="V101" s="319">
        <f t="shared" si="50"/>
        <v>10964707.690000001</v>
      </c>
      <c r="X101" s="345">
        <f t="shared" si="43"/>
        <v>43.06922201360117</v>
      </c>
      <c r="Y101" s="346">
        <f t="shared" si="44"/>
        <v>-59.79965719957373</v>
      </c>
      <c r="AA101" s="345">
        <f t="shared" si="45"/>
        <v>44.669171700144268</v>
      </c>
      <c r="AB101" s="346">
        <f t="shared" si="46"/>
        <v>-81.293984757310156</v>
      </c>
      <c r="AD101">
        <f t="shared" si="51"/>
        <v>0</v>
      </c>
      <c r="AE101">
        <f t="shared" si="52"/>
        <v>0</v>
      </c>
    </row>
    <row r="102" spans="1:31" x14ac:dyDescent="0.2">
      <c r="A102" s="347">
        <v>3630.8</v>
      </c>
      <c r="B102" s="364">
        <f t="shared" si="48"/>
        <v>3.6308000000000002</v>
      </c>
      <c r="C102" s="337">
        <f t="shared" si="26"/>
        <v>7.2748219135617722</v>
      </c>
      <c r="D102" s="338">
        <f t="shared" si="27"/>
        <v>1.4328993003111716</v>
      </c>
      <c r="E102" s="338">
        <f t="shared" si="28"/>
        <v>1.0000149883429736</v>
      </c>
      <c r="F102" s="339">
        <f t="shared" si="29"/>
        <v>5.4750626968865972E-3</v>
      </c>
      <c r="G102" s="338">
        <f t="shared" si="30"/>
        <v>1</v>
      </c>
      <c r="H102" s="339">
        <f t="shared" si="31"/>
        <v>0</v>
      </c>
      <c r="I102" s="337">
        <f t="shared" si="32"/>
        <v>686.86305783675471</v>
      </c>
      <c r="J102" s="340">
        <f t="shared" si="33"/>
        <v>1.5693404319962723</v>
      </c>
      <c r="K102" s="348">
        <f t="shared" si="34"/>
        <v>1.1913879996595915</v>
      </c>
      <c r="L102" s="349">
        <f t="shared" si="35"/>
        <v>0.57469686386968177</v>
      </c>
      <c r="M102" s="337">
        <f t="shared" si="36"/>
        <v>1.0000384733641818</v>
      </c>
      <c r="N102" s="340">
        <f t="shared" si="37"/>
        <v>8.7717878134971408E-3</v>
      </c>
      <c r="O102" s="341">
        <f t="shared" si="38"/>
        <v>0.99999669875693775</v>
      </c>
      <c r="P102" s="342">
        <f t="shared" si="39"/>
        <v>4.4455628379619812E-3</v>
      </c>
      <c r="Q102" s="343">
        <f t="shared" si="40"/>
        <v>29.578195150451773</v>
      </c>
      <c r="R102" s="344">
        <f t="shared" si="41"/>
        <v>-139.53156153157545</v>
      </c>
      <c r="S102" s="346">
        <f t="shared" si="42"/>
        <v>40.468438468424552</v>
      </c>
      <c r="U102" s="319">
        <f t="shared" si="49"/>
        <v>1000000000</v>
      </c>
      <c r="V102" s="319">
        <f t="shared" si="50"/>
        <v>13182708.640000001</v>
      </c>
      <c r="X102" s="345">
        <f t="shared" si="43"/>
        <v>42.490551478911271</v>
      </c>
      <c r="Y102" s="346">
        <f t="shared" si="44"/>
        <v>-57.49146505967785</v>
      </c>
      <c r="AA102" s="345">
        <f t="shared" si="45"/>
        <v>43.885690684457266</v>
      </c>
      <c r="AB102" s="346">
        <f t="shared" si="46"/>
        <v>-82.040096471897598</v>
      </c>
      <c r="AD102">
        <f t="shared" si="51"/>
        <v>0</v>
      </c>
      <c r="AE102">
        <f t="shared" si="52"/>
        <v>0</v>
      </c>
    </row>
    <row r="103" spans="1:31" x14ac:dyDescent="0.2">
      <c r="A103" s="347">
        <v>3981.1</v>
      </c>
      <c r="B103" s="364">
        <f t="shared" si="48"/>
        <v>3.9811000000000001</v>
      </c>
      <c r="C103" s="337">
        <f t="shared" si="26"/>
        <v>7.9640087522903862</v>
      </c>
      <c r="D103" s="338">
        <f t="shared" si="27"/>
        <v>1.4448991047551443</v>
      </c>
      <c r="E103" s="338">
        <f t="shared" si="28"/>
        <v>1.0000180199874329</v>
      </c>
      <c r="F103" s="339">
        <f t="shared" si="29"/>
        <v>6.0032852401061317E-3</v>
      </c>
      <c r="G103" s="338">
        <f t="shared" si="30"/>
        <v>1</v>
      </c>
      <c r="H103" s="339">
        <f t="shared" si="31"/>
        <v>0</v>
      </c>
      <c r="I103" s="337">
        <f t="shared" si="32"/>
        <v>753.13155006933061</v>
      </c>
      <c r="J103" s="340">
        <f t="shared" si="33"/>
        <v>1.5694685371228989</v>
      </c>
      <c r="K103" s="348">
        <f t="shared" si="34"/>
        <v>1.2264737744298473</v>
      </c>
      <c r="L103" s="349">
        <f t="shared" si="35"/>
        <v>0.61747045874715023</v>
      </c>
      <c r="M103" s="337">
        <f t="shared" si="36"/>
        <v>1.0000462551393248</v>
      </c>
      <c r="N103" s="340">
        <f t="shared" si="37"/>
        <v>9.6180410112392707E-3</v>
      </c>
      <c r="O103" s="341">
        <f t="shared" si="38"/>
        <v>0.99999603103879331</v>
      </c>
      <c r="P103" s="342">
        <f t="shared" si="39"/>
        <v>4.8744777523340825E-3</v>
      </c>
      <c r="Q103" s="343">
        <f t="shared" si="40"/>
        <v>28.24405969586504</v>
      </c>
      <c r="R103" s="344">
        <f t="shared" si="41"/>
        <v>-137.81848992987199</v>
      </c>
      <c r="S103" s="346">
        <f t="shared" si="42"/>
        <v>42.181510070128013</v>
      </c>
      <c r="U103" s="319">
        <f t="shared" si="49"/>
        <v>1000000000</v>
      </c>
      <c r="V103" s="319">
        <f t="shared" si="50"/>
        <v>15849157.209999999</v>
      </c>
      <c r="X103" s="345">
        <f t="shared" si="43"/>
        <v>41.942571138600343</v>
      </c>
      <c r="Y103" s="346">
        <f t="shared" si="44"/>
        <v>-55.096545215579681</v>
      </c>
      <c r="AA103" s="345">
        <f t="shared" si="45"/>
        <v>43.099535570181459</v>
      </c>
      <c r="AB103" s="346">
        <f t="shared" si="46"/>
        <v>-82.721944714292277</v>
      </c>
      <c r="AD103">
        <f t="shared" si="51"/>
        <v>0</v>
      </c>
      <c r="AE103">
        <f t="shared" si="52"/>
        <v>0</v>
      </c>
    </row>
    <row r="104" spans="1:31" x14ac:dyDescent="0.2">
      <c r="A104" s="347">
        <v>4365.2</v>
      </c>
      <c r="B104" s="364">
        <f t="shared" si="48"/>
        <v>4.3651999999999997</v>
      </c>
      <c r="C104" s="337">
        <f t="shared" si="26"/>
        <v>8.7207939510445431</v>
      </c>
      <c r="D104" s="338">
        <f t="shared" si="27"/>
        <v>1.4558750764064305</v>
      </c>
      <c r="E104" s="338">
        <f t="shared" si="28"/>
        <v>1.0000216648562672</v>
      </c>
      <c r="F104" s="339">
        <f t="shared" si="29"/>
        <v>6.5824714410446213E-3</v>
      </c>
      <c r="G104" s="338">
        <f t="shared" si="30"/>
        <v>1</v>
      </c>
      <c r="H104" s="339">
        <f t="shared" si="31"/>
        <v>0</v>
      </c>
      <c r="I104" s="337">
        <f t="shared" si="32"/>
        <v>825.79421637153439</v>
      </c>
      <c r="J104" s="340">
        <f t="shared" si="33"/>
        <v>1.569585371057284</v>
      </c>
      <c r="K104" s="348">
        <f t="shared" si="34"/>
        <v>1.2673714041515745</v>
      </c>
      <c r="L104" s="349">
        <f t="shared" si="35"/>
        <v>0.66156019645650843</v>
      </c>
      <c r="M104" s="337">
        <f t="shared" si="36"/>
        <v>1.0000556109202321</v>
      </c>
      <c r="N104" s="340">
        <f t="shared" si="37"/>
        <v>1.0545932221394367E-2</v>
      </c>
      <c r="O104" s="341">
        <f t="shared" si="38"/>
        <v>0.99999522826443576</v>
      </c>
      <c r="P104" s="342">
        <f t="shared" si="39"/>
        <v>5.3447801889797411E-3</v>
      </c>
      <c r="Q104" s="343">
        <f t="shared" si="40"/>
        <v>26.940423976697524</v>
      </c>
      <c r="R104" s="344">
        <f t="shared" si="41"/>
        <v>-135.9748306502361</v>
      </c>
      <c r="S104" s="346">
        <f t="shared" si="42"/>
        <v>44.0251693497639</v>
      </c>
      <c r="U104" s="319">
        <f t="shared" si="49"/>
        <v>1000000000</v>
      </c>
      <c r="V104" s="319">
        <f t="shared" si="50"/>
        <v>19054971.039999999</v>
      </c>
      <c r="X104" s="345">
        <f t="shared" si="43"/>
        <v>41.427382723522513</v>
      </c>
      <c r="Y104" s="346">
        <f t="shared" si="44"/>
        <v>-52.630247663709859</v>
      </c>
      <c r="AA104" s="345">
        <f t="shared" si="45"/>
        <v>42.311088266091765</v>
      </c>
      <c r="AB104" s="346">
        <f t="shared" si="46"/>
        <v>-83.344582986526206</v>
      </c>
      <c r="AD104">
        <f t="shared" si="51"/>
        <v>0</v>
      </c>
      <c r="AE104">
        <f t="shared" si="52"/>
        <v>0</v>
      </c>
    </row>
    <row r="105" spans="1:31" x14ac:dyDescent="0.2">
      <c r="A105" s="347">
        <v>4786.3</v>
      </c>
      <c r="B105" s="364">
        <f t="shared" si="48"/>
        <v>4.7862999999999998</v>
      </c>
      <c r="C105" s="337">
        <f t="shared" si="26"/>
        <v>9.5514862530333406</v>
      </c>
      <c r="D105" s="338">
        <f t="shared" si="27"/>
        <v>1.465908363769683</v>
      </c>
      <c r="E105" s="338">
        <f t="shared" si="28"/>
        <v>1.0000260463216901</v>
      </c>
      <c r="F105" s="339">
        <f t="shared" si="29"/>
        <v>7.2174450271791021E-3</v>
      </c>
      <c r="G105" s="338">
        <f t="shared" si="30"/>
        <v>1</v>
      </c>
      <c r="H105" s="339">
        <f t="shared" si="31"/>
        <v>0</v>
      </c>
      <c r="I105" s="337">
        <f t="shared" si="32"/>
        <v>905.45642131351303</v>
      </c>
      <c r="J105" s="340">
        <f t="shared" si="33"/>
        <v>1.5696919111877508</v>
      </c>
      <c r="K105" s="348">
        <f t="shared" si="34"/>
        <v>1.3148516651455948</v>
      </c>
      <c r="L105" s="349">
        <f t="shared" si="35"/>
        <v>0.70664876037506885</v>
      </c>
      <c r="M105" s="337">
        <f t="shared" si="36"/>
        <v>1.000066857353143</v>
      </c>
      <c r="N105" s="340">
        <f t="shared" si="37"/>
        <v>1.1563185411834835E-2</v>
      </c>
      <c r="O105" s="341">
        <f t="shared" si="38"/>
        <v>0.99999426326517427</v>
      </c>
      <c r="P105" s="342">
        <f t="shared" si="39"/>
        <v>5.8603891546985696E-3</v>
      </c>
      <c r="Q105" s="343">
        <f t="shared" si="40"/>
        <v>25.669616958196201</v>
      </c>
      <c r="R105" s="344">
        <f t="shared" si="41"/>
        <v>-134.02386077708368</v>
      </c>
      <c r="S105" s="346">
        <f t="shared" si="42"/>
        <v>45.976139222916316</v>
      </c>
      <c r="U105" s="319">
        <f t="shared" si="49"/>
        <v>1000000000</v>
      </c>
      <c r="V105" s="319">
        <f t="shared" si="50"/>
        <v>22908667.690000001</v>
      </c>
      <c r="X105" s="345">
        <f t="shared" si="43"/>
        <v>40.946827858371613</v>
      </c>
      <c r="Y105" s="346">
        <f t="shared" si="44"/>
        <v>-50.111251858325105</v>
      </c>
      <c r="AA105" s="345">
        <f t="shared" si="45"/>
        <v>41.52083611274135</v>
      </c>
      <c r="AB105" s="346">
        <f t="shared" si="46"/>
        <v>-83.912608918758593</v>
      </c>
      <c r="AD105">
        <f t="shared" si="51"/>
        <v>0</v>
      </c>
      <c r="AE105">
        <f t="shared" si="52"/>
        <v>0</v>
      </c>
    </row>
    <row r="106" spans="1:31" x14ac:dyDescent="0.2">
      <c r="A106" s="347">
        <v>5248.1</v>
      </c>
      <c r="B106" s="364">
        <f t="shared" si="48"/>
        <v>5.2481</v>
      </c>
      <c r="C106" s="337">
        <f t="shared" si="26"/>
        <v>10.463387660864164</v>
      </c>
      <c r="D106" s="338">
        <f t="shared" si="27"/>
        <v>1.4750788940337503</v>
      </c>
      <c r="E106" s="338">
        <f t="shared" si="28"/>
        <v>1.0000313147988993</v>
      </c>
      <c r="F106" s="339">
        <f t="shared" si="29"/>
        <v>7.9137831333240816E-3</v>
      </c>
      <c r="G106" s="338">
        <f t="shared" si="30"/>
        <v>1</v>
      </c>
      <c r="H106" s="339">
        <f t="shared" si="31"/>
        <v>0</v>
      </c>
      <c r="I106" s="337">
        <f t="shared" si="32"/>
        <v>992.81811777691371</v>
      </c>
      <c r="J106" s="340">
        <f t="shared" si="33"/>
        <v>1.5697890927898144</v>
      </c>
      <c r="K106" s="348">
        <f t="shared" si="34"/>
        <v>1.3697668048643281</v>
      </c>
      <c r="L106" s="349">
        <f t="shared" si="35"/>
        <v>0.75239935157110083</v>
      </c>
      <c r="M106" s="337">
        <f t="shared" si="36"/>
        <v>1.0000803804833913</v>
      </c>
      <c r="N106" s="340">
        <f t="shared" si="37"/>
        <v>1.2678730186846142E-2</v>
      </c>
      <c r="O106" s="341">
        <f t="shared" si="38"/>
        <v>0.99999310291814503</v>
      </c>
      <c r="P106" s="342">
        <f t="shared" si="39"/>
        <v>6.4258361619595906E-3</v>
      </c>
      <c r="Q106" s="343">
        <f t="shared" si="40"/>
        <v>24.432882838573612</v>
      </c>
      <c r="R106" s="344">
        <f t="shared" si="41"/>
        <v>-131.98996226459536</v>
      </c>
      <c r="S106" s="346">
        <f t="shared" si="42"/>
        <v>48.010037735404637</v>
      </c>
      <c r="U106" s="319">
        <f t="shared" si="49"/>
        <v>1000000000</v>
      </c>
      <c r="V106" s="319">
        <f t="shared" si="50"/>
        <v>27542553.610000003</v>
      </c>
      <c r="X106" s="345">
        <f t="shared" si="43"/>
        <v>40.502065118895352</v>
      </c>
      <c r="Y106" s="346">
        <f t="shared" si="44"/>
        <v>-47.559420172758777</v>
      </c>
      <c r="AA106" s="345">
        <f t="shared" si="45"/>
        <v>40.728864732595014</v>
      </c>
      <c r="AB106" s="346">
        <f t="shared" si="46"/>
        <v>-84.430542091836571</v>
      </c>
      <c r="AD106">
        <f t="shared" si="51"/>
        <v>0</v>
      </c>
      <c r="AE106">
        <f t="shared" si="52"/>
        <v>0</v>
      </c>
    </row>
    <row r="107" spans="1:31" x14ac:dyDescent="0.2">
      <c r="A107" s="347">
        <v>5370.3</v>
      </c>
      <c r="B107" s="364">
        <f t="shared" si="48"/>
        <v>5.3703000000000003</v>
      </c>
      <c r="C107" s="337">
        <f t="shared" si="26"/>
        <v>10.704823388499065</v>
      </c>
      <c r="D107" s="338">
        <f t="shared" si="27"/>
        <v>1.4772440910813085</v>
      </c>
      <c r="E107" s="338">
        <f t="shared" si="28"/>
        <v>1.0000327900589796</v>
      </c>
      <c r="F107" s="339">
        <f t="shared" si="29"/>
        <v>8.0980445806021397E-3</v>
      </c>
      <c r="G107" s="338">
        <f t="shared" si="30"/>
        <v>1</v>
      </c>
      <c r="H107" s="339">
        <f t="shared" si="31"/>
        <v>0</v>
      </c>
      <c r="I107" s="337">
        <f t="shared" si="32"/>
        <v>1015.9354845017737</v>
      </c>
      <c r="J107" s="340">
        <f t="shared" si="33"/>
        <v>1.5698120121639636</v>
      </c>
      <c r="K107" s="348">
        <f t="shared" si="34"/>
        <v>1.3847537665143792</v>
      </c>
      <c r="L107" s="349">
        <f t="shared" si="35"/>
        <v>0.76389083873898045</v>
      </c>
      <c r="M107" s="337">
        <f t="shared" si="36"/>
        <v>1.0000841671617875</v>
      </c>
      <c r="N107" s="340">
        <f t="shared" si="37"/>
        <v>1.2973916816871787E-2</v>
      </c>
      <c r="O107" s="341">
        <f t="shared" si="38"/>
        <v>0.99999277800444575</v>
      </c>
      <c r="P107" s="342">
        <f t="shared" si="39"/>
        <v>6.575463566167861E-3</v>
      </c>
      <c r="Q107" s="343">
        <f t="shared" si="40"/>
        <v>24.129311417221537</v>
      </c>
      <c r="R107" s="344">
        <f t="shared" si="41"/>
        <v>-131.47184694857597</v>
      </c>
      <c r="S107" s="346">
        <f t="shared" si="42"/>
        <v>48.528153051424027</v>
      </c>
      <c r="U107" s="319">
        <f t="shared" si="49"/>
        <v>1000000000</v>
      </c>
      <c r="V107" s="319">
        <f t="shared" si="50"/>
        <v>28840122.090000004</v>
      </c>
      <c r="X107" s="345">
        <f t="shared" si="43"/>
        <v>40.396621874899438</v>
      </c>
      <c r="Y107" s="346">
        <f t="shared" si="44"/>
        <v>-46.919232588456012</v>
      </c>
      <c r="AA107" s="345">
        <f t="shared" si="45"/>
        <v>40.53073655523886</v>
      </c>
      <c r="AB107" s="346">
        <f t="shared" si="46"/>
        <v>-84.552614360119975</v>
      </c>
      <c r="AD107">
        <f t="shared" si="51"/>
        <v>0</v>
      </c>
      <c r="AE107">
        <f t="shared" si="52"/>
        <v>0</v>
      </c>
    </row>
    <row r="108" spans="1:31" x14ac:dyDescent="0.2">
      <c r="A108" s="347">
        <v>5432.85</v>
      </c>
      <c r="B108" s="364">
        <f t="shared" si="48"/>
        <v>5.4328500000000002</v>
      </c>
      <c r="C108" s="337">
        <f t="shared" si="26"/>
        <v>10.828424842678549</v>
      </c>
      <c r="D108" s="338">
        <f t="shared" si="27"/>
        <v>1.4783150191646499</v>
      </c>
      <c r="E108" s="338">
        <f t="shared" si="28"/>
        <v>1.0000335583319193</v>
      </c>
      <c r="F108" s="339">
        <f t="shared" si="29"/>
        <v>8.1923615005859238E-3</v>
      </c>
      <c r="G108" s="338">
        <f t="shared" si="30"/>
        <v>1</v>
      </c>
      <c r="H108" s="339">
        <f t="shared" si="31"/>
        <v>0</v>
      </c>
      <c r="I108" s="337">
        <f t="shared" si="32"/>
        <v>1027.7684739699871</v>
      </c>
      <c r="J108" s="340">
        <f t="shared" si="33"/>
        <v>1.5698233448606294</v>
      </c>
      <c r="K108" s="348">
        <f t="shared" si="34"/>
        <v>1.3924946818289086</v>
      </c>
      <c r="L108" s="349">
        <f t="shared" si="35"/>
        <v>0.76967683703419321</v>
      </c>
      <c r="M108" s="337">
        <f t="shared" si="36"/>
        <v>1.0000861391513163</v>
      </c>
      <c r="N108" s="340">
        <f t="shared" si="37"/>
        <v>1.3125011883907549E-2</v>
      </c>
      <c r="O108" s="341">
        <f t="shared" si="38"/>
        <v>0.99999260879918872</v>
      </c>
      <c r="P108" s="342">
        <f t="shared" si="39"/>
        <v>6.6520528298146071E-3</v>
      </c>
      <c r="Q108" s="343">
        <f t="shared" si="40"/>
        <v>23.977423389077646</v>
      </c>
      <c r="R108" s="344">
        <f t="shared" si="41"/>
        <v>-131.20998403047574</v>
      </c>
      <c r="S108" s="346">
        <f t="shared" si="42"/>
        <v>48.790015969524262</v>
      </c>
      <c r="U108" s="319">
        <f t="shared" si="49"/>
        <v>1000000000</v>
      </c>
      <c r="V108" s="319">
        <f t="shared" si="50"/>
        <v>29515859.122500002</v>
      </c>
      <c r="X108" s="345">
        <f t="shared" si="43"/>
        <v>40.344441303903565</v>
      </c>
      <c r="Y108" s="346">
        <f t="shared" si="44"/>
        <v>-46.597025730838091</v>
      </c>
      <c r="AA108" s="345">
        <f t="shared" si="45"/>
        <v>40.431029098090846</v>
      </c>
      <c r="AB108" s="346">
        <f t="shared" si="46"/>
        <v>-84.61295829963764</v>
      </c>
      <c r="AD108">
        <f t="shared" si="51"/>
        <v>0</v>
      </c>
      <c r="AE108">
        <f t="shared" si="52"/>
        <v>0</v>
      </c>
    </row>
    <row r="109" spans="1:31" x14ac:dyDescent="0.2">
      <c r="A109" s="347">
        <v>5495.4</v>
      </c>
      <c r="B109" s="364">
        <f t="shared" si="48"/>
        <v>5.4954000000000001</v>
      </c>
      <c r="C109" s="337">
        <f t="shared" si="26"/>
        <v>10.952038435515254</v>
      </c>
      <c r="D109" s="338">
        <f t="shared" si="27"/>
        <v>1.4793617736993094</v>
      </c>
      <c r="E109" s="338">
        <f t="shared" si="28"/>
        <v>1.0000343355008252</v>
      </c>
      <c r="F109" s="339">
        <f t="shared" si="29"/>
        <v>8.2866782748133964E-3</v>
      </c>
      <c r="G109" s="338">
        <f t="shared" si="30"/>
        <v>1</v>
      </c>
      <c r="H109" s="339">
        <f t="shared" si="31"/>
        <v>0</v>
      </c>
      <c r="I109" s="337">
        <f t="shared" si="32"/>
        <v>1039.6014635671913</v>
      </c>
      <c r="J109" s="340">
        <f t="shared" si="33"/>
        <v>1.569834419574432</v>
      </c>
      <c r="K109" s="348">
        <f t="shared" si="34"/>
        <v>1.4002816984493593</v>
      </c>
      <c r="L109" s="349">
        <f t="shared" si="35"/>
        <v>0.77539867282996022</v>
      </c>
      <c r="M109" s="337">
        <f t="shared" si="36"/>
        <v>1.0000881339724408</v>
      </c>
      <c r="N109" s="340">
        <f t="shared" si="37"/>
        <v>1.3276106351630601E-2</v>
      </c>
      <c r="O109" s="341">
        <f t="shared" si="38"/>
        <v>0.99999243763497769</v>
      </c>
      <c r="P109" s="342">
        <f t="shared" si="39"/>
        <v>6.7286421715825519E-3</v>
      </c>
      <c r="Q109" s="343">
        <f t="shared" si="40"/>
        <v>23.827826388853907</v>
      </c>
      <c r="R109" s="344">
        <f t="shared" si="41"/>
        <v>-130.95039750764391</v>
      </c>
      <c r="S109" s="346">
        <f t="shared" si="42"/>
        <v>49.049602492356087</v>
      </c>
      <c r="U109" s="319">
        <f t="shared" si="49"/>
        <v>1000000000</v>
      </c>
      <c r="V109" s="319">
        <f t="shared" si="50"/>
        <v>30199421.159999996</v>
      </c>
      <c r="X109" s="345">
        <f t="shared" si="43"/>
        <v>40.293429520900681</v>
      </c>
      <c r="Y109" s="346">
        <f t="shared" si="44"/>
        <v>-46.278480297978298</v>
      </c>
      <c r="AA109" s="345">
        <f t="shared" si="45"/>
        <v>40.332443880869995</v>
      </c>
      <c r="AB109" s="346">
        <f t="shared" si="46"/>
        <v>-84.671917209665651</v>
      </c>
      <c r="AD109">
        <f t="shared" si="51"/>
        <v>0</v>
      </c>
      <c r="AE109">
        <f t="shared" si="52"/>
        <v>0</v>
      </c>
    </row>
    <row r="110" spans="1:31" x14ac:dyDescent="0.2">
      <c r="A110" s="347">
        <v>5559.4</v>
      </c>
      <c r="B110" s="364">
        <f t="shared" si="48"/>
        <v>5.5593999999999992</v>
      </c>
      <c r="C110" s="337">
        <f t="shared" si="26"/>
        <v>11.078529711462425</v>
      </c>
      <c r="D110" s="338">
        <f t="shared" si="27"/>
        <v>1.4804086145717812</v>
      </c>
      <c r="E110" s="338">
        <f t="shared" si="28"/>
        <v>1.0000351398933038</v>
      </c>
      <c r="F110" s="339">
        <f t="shared" si="29"/>
        <v>8.3831812964692935E-3</v>
      </c>
      <c r="G110" s="338">
        <f t="shared" si="30"/>
        <v>1</v>
      </c>
      <c r="H110" s="339">
        <f t="shared" si="31"/>
        <v>0</v>
      </c>
      <c r="I110" s="337">
        <f t="shared" si="32"/>
        <v>1051.7087592072903</v>
      </c>
      <c r="J110" s="340">
        <f t="shared" si="33"/>
        <v>1.5698454930760308</v>
      </c>
      <c r="K110" s="348">
        <f t="shared" si="34"/>
        <v>1.408296148503235</v>
      </c>
      <c r="L110" s="349">
        <f t="shared" si="35"/>
        <v>0.78118746102767622</v>
      </c>
      <c r="M110" s="337">
        <f t="shared" si="36"/>
        <v>1.0000901986679127</v>
      </c>
      <c r="N110" s="340">
        <f t="shared" si="37"/>
        <v>1.3430702781428031E-2</v>
      </c>
      <c r="O110" s="341">
        <f t="shared" si="38"/>
        <v>0.99999226047534961</v>
      </c>
      <c r="P110" s="342">
        <f t="shared" si="39"/>
        <v>6.8070070475143808E-3</v>
      </c>
      <c r="Q110" s="343">
        <f t="shared" si="40"/>
        <v>23.677073034977564</v>
      </c>
      <c r="R110" s="344">
        <f t="shared" si="41"/>
        <v>-130.68715688759636</v>
      </c>
      <c r="S110" s="346">
        <f t="shared" si="42"/>
        <v>49.312843112403641</v>
      </c>
      <c r="U110" s="319">
        <f t="shared" si="49"/>
        <v>1000000000</v>
      </c>
      <c r="V110" s="319">
        <f t="shared" si="50"/>
        <v>30906928.359999996</v>
      </c>
      <c r="X110" s="345">
        <f t="shared" si="43"/>
        <v>40.242410991768111</v>
      </c>
      <c r="Y110" s="346">
        <f t="shared" si="44"/>
        <v>-45.956299353247104</v>
      </c>
      <c r="AA110" s="345">
        <f t="shared" si="45"/>
        <v>40.232709056126211</v>
      </c>
      <c r="AB110" s="346">
        <f t="shared" si="46"/>
        <v>-84.730857534349241</v>
      </c>
      <c r="AD110">
        <f t="shared" si="51"/>
        <v>0</v>
      </c>
      <c r="AE110">
        <f t="shared" si="52"/>
        <v>0</v>
      </c>
    </row>
    <row r="111" spans="1:31" x14ac:dyDescent="0.2">
      <c r="A111" s="347">
        <v>5623.4</v>
      </c>
      <c r="B111" s="364">
        <f t="shared" si="48"/>
        <v>5.6233999999999993</v>
      </c>
      <c r="C111" s="337">
        <f t="shared" si="26"/>
        <v>11.205032853987191</v>
      </c>
      <c r="D111" s="338">
        <f t="shared" si="27"/>
        <v>1.4814318191912668</v>
      </c>
      <c r="E111" s="338">
        <f t="shared" si="28"/>
        <v>1.0000359535989283</v>
      </c>
      <c r="F111" s="339">
        <f t="shared" si="29"/>
        <v>8.4796841619794467E-3</v>
      </c>
      <c r="G111" s="338">
        <f t="shared" si="30"/>
        <v>1</v>
      </c>
      <c r="H111" s="339">
        <f t="shared" si="31"/>
        <v>0</v>
      </c>
      <c r="I111" s="337">
        <f t="shared" si="32"/>
        <v>1063.8160549734171</v>
      </c>
      <c r="J111" s="340">
        <f t="shared" si="33"/>
        <v>1.5698563145224784</v>
      </c>
      <c r="K111" s="348">
        <f t="shared" si="34"/>
        <v>1.416357255669036</v>
      </c>
      <c r="L111" s="349">
        <f t="shared" si="35"/>
        <v>0.78691054615692124</v>
      </c>
      <c r="M111" s="337">
        <f t="shared" si="36"/>
        <v>1.0000922872654978</v>
      </c>
      <c r="N111" s="340">
        <f t="shared" si="37"/>
        <v>1.3585298569200429E-2</v>
      </c>
      <c r="O111" s="341">
        <f t="shared" si="38"/>
        <v>0.99999208126492423</v>
      </c>
      <c r="P111" s="342">
        <f t="shared" si="39"/>
        <v>6.8853720071363382E-3</v>
      </c>
      <c r="Q111" s="343">
        <f t="shared" si="40"/>
        <v>23.528598784847269</v>
      </c>
      <c r="R111" s="344">
        <f t="shared" si="41"/>
        <v>-130.42631205379621</v>
      </c>
      <c r="S111" s="346">
        <f t="shared" si="42"/>
        <v>49.57368794620379</v>
      </c>
      <c r="U111" s="319">
        <f t="shared" si="49"/>
        <v>1000000000</v>
      </c>
      <c r="V111" s="319">
        <f t="shared" si="50"/>
        <v>31622627.559999995</v>
      </c>
      <c r="X111" s="345">
        <f t="shared" si="43"/>
        <v>40.192548267307401</v>
      </c>
      <c r="Y111" s="346">
        <f t="shared" si="44"/>
        <v>-45.637868438562954</v>
      </c>
      <c r="AA111" s="345">
        <f t="shared" si="45"/>
        <v>40.134097530456636</v>
      </c>
      <c r="AB111" s="346">
        <f t="shared" si="46"/>
        <v>-84.788443615233248</v>
      </c>
      <c r="AD111">
        <f t="shared" si="51"/>
        <v>0</v>
      </c>
      <c r="AE111">
        <f t="shared" si="52"/>
        <v>0</v>
      </c>
    </row>
    <row r="112" spans="1:31" x14ac:dyDescent="0.2">
      <c r="A112" s="347">
        <v>5688.9</v>
      </c>
      <c r="B112" s="364">
        <f t="shared" si="48"/>
        <v>5.6888999999999994</v>
      </c>
      <c r="C112" s="337">
        <f t="shared" si="26"/>
        <v>11.334512786319882</v>
      </c>
      <c r="D112" s="338">
        <f t="shared" si="27"/>
        <v>1.482455355110984</v>
      </c>
      <c r="E112" s="338">
        <f t="shared" si="28"/>
        <v>1.0000367960188727</v>
      </c>
      <c r="F112" s="339">
        <f t="shared" si="29"/>
        <v>8.5784486498466216E-3</v>
      </c>
      <c r="G112" s="338">
        <f t="shared" si="30"/>
        <v>1</v>
      </c>
      <c r="H112" s="339">
        <f t="shared" si="31"/>
        <v>0</v>
      </c>
      <c r="I112" s="337">
        <f t="shared" si="32"/>
        <v>1076.2071156101165</v>
      </c>
      <c r="J112" s="340">
        <f t="shared" si="33"/>
        <v>1.5698671374879369</v>
      </c>
      <c r="K112" s="348">
        <f t="shared" si="34"/>
        <v>1.4246547787559525</v>
      </c>
      <c r="L112" s="349">
        <f t="shared" si="35"/>
        <v>0.79270051117843798</v>
      </c>
      <c r="M112" s="337">
        <f t="shared" si="36"/>
        <v>1.0000944495634188</v>
      </c>
      <c r="N112" s="340">
        <f t="shared" si="37"/>
        <v>1.3743517023269168E-2</v>
      </c>
      <c r="O112" s="341">
        <f t="shared" si="38"/>
        <v>0.99999189573081249</v>
      </c>
      <c r="P112" s="342">
        <f t="shared" si="39"/>
        <v>6.9655737331601342E-3</v>
      </c>
      <c r="Q112" s="343">
        <f t="shared" si="40"/>
        <v>23.37894465791123</v>
      </c>
      <c r="R112" s="344">
        <f t="shared" si="41"/>
        <v>-130.16183757460465</v>
      </c>
      <c r="S112" s="346">
        <f t="shared" si="42"/>
        <v>49.838162425395353</v>
      </c>
      <c r="U112" s="319">
        <f t="shared" si="49"/>
        <v>1000000000</v>
      </c>
      <c r="V112" s="319">
        <f t="shared" si="50"/>
        <v>32363583.209999997</v>
      </c>
      <c r="X112" s="345">
        <f t="shared" si="43"/>
        <v>40.142679661376334</v>
      </c>
      <c r="Y112" s="346">
        <f t="shared" si="44"/>
        <v>-45.315813238835482</v>
      </c>
      <c r="AA112" s="345">
        <f t="shared" si="45"/>
        <v>40.034312009451654</v>
      </c>
      <c r="AB112" s="346">
        <f t="shared" si="46"/>
        <v>-84.846024335769172</v>
      </c>
      <c r="AD112">
        <f t="shared" si="51"/>
        <v>0</v>
      </c>
      <c r="AE112">
        <f t="shared" si="52"/>
        <v>0</v>
      </c>
    </row>
    <row r="113" spans="1:31" x14ac:dyDescent="0.2">
      <c r="A113" s="347">
        <v>5754.4</v>
      </c>
      <c r="B113" s="364">
        <f t="shared" si="48"/>
        <v>5.7543999999999995</v>
      </c>
      <c r="C113" s="337">
        <f t="shared" si="26"/>
        <v>11.464004324744556</v>
      </c>
      <c r="D113" s="338">
        <f t="shared" si="27"/>
        <v>1.4834557693810189</v>
      </c>
      <c r="E113" s="338">
        <f t="shared" si="28"/>
        <v>1.0000376481935838</v>
      </c>
      <c r="F113" s="339">
        <f t="shared" si="29"/>
        <v>8.6772129703543196E-3</v>
      </c>
      <c r="G113" s="338">
        <f t="shared" si="30"/>
        <v>1</v>
      </c>
      <c r="H113" s="339">
        <f t="shared" si="31"/>
        <v>0</v>
      </c>
      <c r="I113" s="337">
        <f t="shared" si="32"/>
        <v>1088.5981763700092</v>
      </c>
      <c r="J113" s="340">
        <f t="shared" si="33"/>
        <v>1.5698777140667584</v>
      </c>
      <c r="K113" s="348">
        <f t="shared" si="34"/>
        <v>1.4329995075198088</v>
      </c>
      <c r="L113" s="349">
        <f t="shared" si="35"/>
        <v>0.79842323324999009</v>
      </c>
      <c r="M113" s="337">
        <f t="shared" si="36"/>
        <v>1.0000966368966746</v>
      </c>
      <c r="N113" s="340">
        <f t="shared" si="37"/>
        <v>1.3901734789212481E-2</v>
      </c>
      <c r="O113" s="341">
        <f t="shared" si="38"/>
        <v>0.99999170804868087</v>
      </c>
      <c r="P113" s="342">
        <f t="shared" si="39"/>
        <v>7.0457755488848835E-3</v>
      </c>
      <c r="Q113" s="343">
        <f t="shared" si="40"/>
        <v>23.231558176110738</v>
      </c>
      <c r="R113" s="344">
        <f t="shared" si="41"/>
        <v>-129.89987691809608</v>
      </c>
      <c r="S113" s="346">
        <f t="shared" si="42"/>
        <v>50.100123081903916</v>
      </c>
      <c r="U113" s="319">
        <f t="shared" si="49"/>
        <v>1000000000</v>
      </c>
      <c r="V113" s="319">
        <f t="shared" si="50"/>
        <v>33113119.359999996</v>
      </c>
      <c r="X113" s="345">
        <f t="shared" si="43"/>
        <v>40.093953837677113</v>
      </c>
      <c r="Y113" s="346">
        <f t="shared" si="44"/>
        <v>-44.997596620006263</v>
      </c>
      <c r="AA113" s="345">
        <f t="shared" si="45"/>
        <v>39.935651351350387</v>
      </c>
      <c r="AB113" s="346">
        <f t="shared" si="46"/>
        <v>-84.902280298089849</v>
      </c>
      <c r="AD113">
        <f t="shared" si="51"/>
        <v>0</v>
      </c>
      <c r="AE113">
        <f t="shared" si="52"/>
        <v>0</v>
      </c>
    </row>
    <row r="114" spans="1:31" x14ac:dyDescent="0.2">
      <c r="A114" s="347">
        <v>5821.4</v>
      </c>
      <c r="B114" s="364">
        <f t="shared" si="48"/>
        <v>5.8213999999999997</v>
      </c>
      <c r="C114" s="337">
        <f t="shared" si="26"/>
        <v>11.596472920740307</v>
      </c>
      <c r="D114" s="338">
        <f t="shared" si="27"/>
        <v>1.4844559773701695</v>
      </c>
      <c r="E114" s="338">
        <f t="shared" si="28"/>
        <v>1.0000385299761323</v>
      </c>
      <c r="F114" s="339">
        <f t="shared" si="29"/>
        <v>8.7782388940336759E-3</v>
      </c>
      <c r="G114" s="338">
        <f t="shared" si="30"/>
        <v>1</v>
      </c>
      <c r="H114" s="339">
        <f t="shared" si="31"/>
        <v>0</v>
      </c>
      <c r="I114" s="337">
        <f t="shared" si="32"/>
        <v>1101.2730020032511</v>
      </c>
      <c r="J114" s="340">
        <f t="shared" si="33"/>
        <v>1.5698882866126678</v>
      </c>
      <c r="K114" s="348">
        <f t="shared" si="34"/>
        <v>1.4415833219279397</v>
      </c>
      <c r="L114" s="349">
        <f t="shared" si="35"/>
        <v>0.80420826969348125</v>
      </c>
      <c r="M114" s="337">
        <f t="shared" si="36"/>
        <v>1.0000989002232528</v>
      </c>
      <c r="N114" s="340">
        <f t="shared" si="37"/>
        <v>1.4063575142575755E-2</v>
      </c>
      <c r="O114" s="341">
        <f t="shared" si="38"/>
        <v>0.99999151384613405</v>
      </c>
      <c r="P114" s="342">
        <f t="shared" si="39"/>
        <v>7.1278141412949598E-3</v>
      </c>
      <c r="Q114" s="343">
        <f t="shared" si="40"/>
        <v>23.083082684977526</v>
      </c>
      <c r="R114" s="344">
        <f t="shared" si="41"/>
        <v>-129.63451707918105</v>
      </c>
      <c r="S114" s="346">
        <f t="shared" si="42"/>
        <v>50.365482920818948</v>
      </c>
      <c r="U114" s="319">
        <f t="shared" si="49"/>
        <v>1000000000</v>
      </c>
      <c r="V114" s="319">
        <f t="shared" si="50"/>
        <v>33888697.959999993</v>
      </c>
      <c r="X114" s="345">
        <f t="shared" si="43"/>
        <v>40.045260540310387</v>
      </c>
      <c r="Y114" s="346">
        <f t="shared" si="44"/>
        <v>-44.676016978559325</v>
      </c>
      <c r="AA114" s="345">
        <f t="shared" si="45"/>
        <v>39.8358691575839</v>
      </c>
      <c r="AB114" s="346">
        <f t="shared" si="46"/>
        <v>-84.958500100621734</v>
      </c>
      <c r="AD114">
        <f t="shared" si="51"/>
        <v>0</v>
      </c>
      <c r="AE114">
        <f t="shared" si="52"/>
        <v>0</v>
      </c>
    </row>
    <row r="115" spans="1:31" x14ac:dyDescent="0.2">
      <c r="A115" s="347">
        <v>5888.4</v>
      </c>
      <c r="B115" s="364">
        <f t="shared" si="48"/>
        <v>5.8883999999999999</v>
      </c>
      <c r="C115" s="337">
        <f t="shared" si="26"/>
        <v>11.728952855973013</v>
      </c>
      <c r="D115" s="338">
        <f t="shared" si="27"/>
        <v>1.4854335913795931</v>
      </c>
      <c r="E115" s="338">
        <f t="shared" si="28"/>
        <v>1.0000394219652931</v>
      </c>
      <c r="F115" s="339">
        <f t="shared" si="29"/>
        <v>8.8792646385231697E-3</v>
      </c>
      <c r="G115" s="338">
        <f t="shared" si="30"/>
        <v>1</v>
      </c>
      <c r="H115" s="339">
        <f t="shared" si="31"/>
        <v>0</v>
      </c>
      <c r="I115" s="337">
        <f t="shared" si="32"/>
        <v>1113.9478277567905</v>
      </c>
      <c r="J115" s="340">
        <f t="shared" si="33"/>
        <v>1.5698986185635093</v>
      </c>
      <c r="K115" s="348">
        <f t="shared" si="34"/>
        <v>1.4502148092370293</v>
      </c>
      <c r="L115" s="349">
        <f t="shared" si="35"/>
        <v>0.80992463200780962</v>
      </c>
      <c r="M115" s="337">
        <f t="shared" si="36"/>
        <v>1.0001011897446024</v>
      </c>
      <c r="N115" s="340">
        <f t="shared" si="37"/>
        <v>1.4225414759179059E-2</v>
      </c>
      <c r="O115" s="341">
        <f t="shared" si="38"/>
        <v>0.99999131739609648</v>
      </c>
      <c r="P115" s="342">
        <f t="shared" si="39"/>
        <v>7.2098528297474332E-3</v>
      </c>
      <c r="Q115" s="343">
        <f t="shared" si="40"/>
        <v>22.936860366941353</v>
      </c>
      <c r="R115" s="344">
        <f t="shared" si="41"/>
        <v>-129.37178362682548</v>
      </c>
      <c r="S115" s="346">
        <f t="shared" si="42"/>
        <v>50.628216373174524</v>
      </c>
      <c r="U115" s="319">
        <f t="shared" si="49"/>
        <v>1000000000</v>
      </c>
      <c r="V115" s="319">
        <f t="shared" si="50"/>
        <v>34673254.559999995</v>
      </c>
      <c r="X115" s="345">
        <f t="shared" si="43"/>
        <v>39.997695217823761</v>
      </c>
      <c r="Y115" s="346">
        <f t="shared" si="44"/>
        <v>-44.358358247584448</v>
      </c>
      <c r="AA115" s="345">
        <f t="shared" si="45"/>
        <v>39.737212162034353</v>
      </c>
      <c r="AB115" s="346">
        <f t="shared" si="46"/>
        <v>-85.013425379241042</v>
      </c>
      <c r="AD115">
        <f t="shared" si="51"/>
        <v>0</v>
      </c>
      <c r="AE115">
        <f t="shared" si="52"/>
        <v>0</v>
      </c>
    </row>
    <row r="116" spans="1:31" x14ac:dyDescent="0.2">
      <c r="A116" s="347">
        <v>5957</v>
      </c>
      <c r="B116" s="364">
        <f t="shared" si="48"/>
        <v>5.9569999999999999</v>
      </c>
      <c r="C116" s="337">
        <f t="shared" si="26"/>
        <v>11.864607843114943</v>
      </c>
      <c r="D116" s="338">
        <f t="shared" si="27"/>
        <v>1.4864119301390444</v>
      </c>
      <c r="E116" s="338">
        <f t="shared" si="28"/>
        <v>1.0000403458307918</v>
      </c>
      <c r="F116" s="339">
        <f t="shared" si="29"/>
        <v>8.9827027502921118E-3</v>
      </c>
      <c r="G116" s="338">
        <f t="shared" si="30"/>
        <v>1</v>
      </c>
      <c r="H116" s="339">
        <f t="shared" si="31"/>
        <v>0</v>
      </c>
      <c r="I116" s="337">
        <f t="shared" si="32"/>
        <v>1126.9253360367868</v>
      </c>
      <c r="J116" s="340">
        <f t="shared" si="33"/>
        <v>1.5699089564436766</v>
      </c>
      <c r="K116" s="348">
        <f t="shared" si="34"/>
        <v>1.4591009321982862</v>
      </c>
      <c r="L116" s="349">
        <f t="shared" si="35"/>
        <v>0.81570723704043768</v>
      </c>
      <c r="M116" s="337">
        <f t="shared" si="36"/>
        <v>1.0001035610814615</v>
      </c>
      <c r="N116" s="340">
        <f t="shared" si="37"/>
        <v>1.4391118430237528E-2</v>
      </c>
      <c r="O116" s="341">
        <f t="shared" si="38"/>
        <v>0.99999111392609685</v>
      </c>
      <c r="P116" s="342">
        <f t="shared" si="39"/>
        <v>7.2938507517229583E-3</v>
      </c>
      <c r="Q116" s="343">
        <f t="shared" si="40"/>
        <v>22.789420755417154</v>
      </c>
      <c r="R116" s="344">
        <f t="shared" si="41"/>
        <v>-129.10549204248719</v>
      </c>
      <c r="S116" s="346">
        <f t="shared" si="42"/>
        <v>50.894507957512815</v>
      </c>
      <c r="U116" s="319">
        <f t="shared" si="49"/>
        <v>1000000000</v>
      </c>
      <c r="V116" s="319">
        <f t="shared" si="50"/>
        <v>35485849</v>
      </c>
      <c r="X116" s="345">
        <f t="shared" si="43"/>
        <v>39.950128765519388</v>
      </c>
      <c r="Y116" s="346">
        <f t="shared" si="44"/>
        <v>-44.037125822160846</v>
      </c>
      <c r="AA116" s="345">
        <f t="shared" si="45"/>
        <v>39.637339002814535</v>
      </c>
      <c r="AB116" s="346">
        <f t="shared" si="46"/>
        <v>-85.068366220326354</v>
      </c>
      <c r="AD116">
        <f t="shared" si="51"/>
        <v>0</v>
      </c>
      <c r="AE116">
        <f t="shared" si="52"/>
        <v>0</v>
      </c>
    </row>
    <row r="117" spans="1:31" x14ac:dyDescent="0.2">
      <c r="A117" s="347">
        <v>6025.6</v>
      </c>
      <c r="B117" s="364">
        <f t="shared" si="48"/>
        <v>6.0256000000000007</v>
      </c>
      <c r="C117" s="337">
        <f t="shared" si="26"/>
        <v>12.000273929673527</v>
      </c>
      <c r="D117" s="338">
        <f t="shared" si="27"/>
        <v>1.4873681490697275</v>
      </c>
      <c r="E117" s="338">
        <f t="shared" si="28"/>
        <v>1.0000412803961454</v>
      </c>
      <c r="F117" s="339">
        <f t="shared" si="29"/>
        <v>9.0861406698364115E-3</v>
      </c>
      <c r="G117" s="338">
        <f t="shared" si="30"/>
        <v>1</v>
      </c>
      <c r="H117" s="339">
        <f t="shared" si="31"/>
        <v>0</v>
      </c>
      <c r="I117" s="337">
        <f t="shared" si="32"/>
        <v>1139.9028444344769</v>
      </c>
      <c r="J117" s="340">
        <f t="shared" si="33"/>
        <v>1.5699190589354919</v>
      </c>
      <c r="K117" s="348">
        <f t="shared" si="34"/>
        <v>1.4680352537307937</v>
      </c>
      <c r="L117" s="349">
        <f t="shared" si="35"/>
        <v>0.82141964640199183</v>
      </c>
      <c r="M117" s="337">
        <f t="shared" si="36"/>
        <v>1.0001059598787401</v>
      </c>
      <c r="N117" s="340">
        <f t="shared" si="37"/>
        <v>1.4556821310950999E-2</v>
      </c>
      <c r="O117" s="341">
        <f t="shared" si="38"/>
        <v>0.99999090810002467</v>
      </c>
      <c r="P117" s="342">
        <f t="shared" si="39"/>
        <v>7.3778487767279695E-3</v>
      </c>
      <c r="Q117" s="343">
        <f t="shared" si="40"/>
        <v>22.644223508565648</v>
      </c>
      <c r="R117" s="344">
        <f t="shared" si="41"/>
        <v>-128.84194148588696</v>
      </c>
      <c r="S117" s="346">
        <f t="shared" si="42"/>
        <v>51.158058514113037</v>
      </c>
      <c r="U117" s="319">
        <f t="shared" si="49"/>
        <v>1000000000</v>
      </c>
      <c r="V117" s="319">
        <f t="shared" si="50"/>
        <v>36307855.360000007</v>
      </c>
      <c r="X117" s="345">
        <f t="shared" si="43"/>
        <v>39.903677045239604</v>
      </c>
      <c r="Y117" s="346">
        <f t="shared" si="44"/>
        <v>-43.719901780391922</v>
      </c>
      <c r="AA117" s="345">
        <f t="shared" si="45"/>
        <v>39.538593476242802</v>
      </c>
      <c r="AB117" s="346">
        <f t="shared" si="46"/>
        <v>-85.122039705495041</v>
      </c>
      <c r="AD117">
        <f t="shared" si="51"/>
        <v>0</v>
      </c>
      <c r="AE117">
        <f t="shared" si="52"/>
        <v>0</v>
      </c>
    </row>
    <row r="118" spans="1:31" x14ac:dyDescent="0.2">
      <c r="A118" s="347">
        <v>6095.8</v>
      </c>
      <c r="B118" s="364">
        <f t="shared" si="48"/>
        <v>6.0958000000000006</v>
      </c>
      <c r="C118" s="337">
        <f t="shared" si="26"/>
        <v>12.13911534232326</v>
      </c>
      <c r="D118" s="338">
        <f t="shared" si="27"/>
        <v>1.4883245427199201</v>
      </c>
      <c r="E118" s="338">
        <f t="shared" si="28"/>
        <v>1.0000422478360143</v>
      </c>
      <c r="F118" s="339">
        <f t="shared" si="29"/>
        <v>9.1919909342984239E-3</v>
      </c>
      <c r="G118" s="338">
        <f t="shared" si="30"/>
        <v>1</v>
      </c>
      <c r="H118" s="339">
        <f t="shared" si="31"/>
        <v>0</v>
      </c>
      <c r="I118" s="337">
        <f t="shared" si="32"/>
        <v>1153.1830353614735</v>
      </c>
      <c r="J118" s="340">
        <f t="shared" si="33"/>
        <v>1.5699291616574769</v>
      </c>
      <c r="K118" s="348">
        <f t="shared" si="34"/>
        <v>1.4772269414483736</v>
      </c>
      <c r="L118" s="349">
        <f t="shared" si="35"/>
        <v>0.82719356271639677</v>
      </c>
      <c r="M118" s="337">
        <f t="shared" si="36"/>
        <v>1.0001084430530403</v>
      </c>
      <c r="N118" s="340">
        <f t="shared" si="37"/>
        <v>1.4726388154187012E-2</v>
      </c>
      <c r="O118" s="341">
        <f t="shared" si="38"/>
        <v>0.99999069503422511</v>
      </c>
      <c r="P118" s="342">
        <f t="shared" si="39"/>
        <v>7.4638060472422951E-3</v>
      </c>
      <c r="Q118" s="343">
        <f t="shared" si="40"/>
        <v>22.497901177148311</v>
      </c>
      <c r="R118" s="344">
        <f t="shared" si="41"/>
        <v>-128.57507229241307</v>
      </c>
      <c r="S118" s="346">
        <f t="shared" si="42"/>
        <v>51.424927707586932</v>
      </c>
      <c r="U118" s="319">
        <f t="shared" si="49"/>
        <v>1000000000</v>
      </c>
      <c r="V118" s="319">
        <f t="shared" si="50"/>
        <v>37158777.640000001</v>
      </c>
      <c r="X118" s="345">
        <f t="shared" si="43"/>
        <v>39.857262024399631</v>
      </c>
      <c r="Y118" s="346">
        <f t="shared" si="44"/>
        <v>-43.399375051742645</v>
      </c>
      <c r="AA118" s="345">
        <f t="shared" si="45"/>
        <v>39.438686165665437</v>
      </c>
      <c r="AB118" s="346">
        <f t="shared" si="46"/>
        <v>-85.175697240670431</v>
      </c>
      <c r="AD118">
        <f t="shared" si="51"/>
        <v>0</v>
      </c>
      <c r="AE118">
        <f t="shared" si="52"/>
        <v>0</v>
      </c>
    </row>
    <row r="119" spans="1:31" x14ac:dyDescent="0.2">
      <c r="A119" s="347">
        <v>6166</v>
      </c>
      <c r="B119" s="364">
        <f t="shared" si="48"/>
        <v>6.1660000000000004</v>
      </c>
      <c r="C119" s="337">
        <f t="shared" si="26"/>
        <v>12.277967607359214</v>
      </c>
      <c r="D119" s="338">
        <f t="shared" si="27"/>
        <v>1.4892593053838796</v>
      </c>
      <c r="E119" s="338">
        <f t="shared" si="28"/>
        <v>1.0000432264806132</v>
      </c>
      <c r="F119" s="339">
        <f t="shared" si="29"/>
        <v>9.2978409927757816E-3</v>
      </c>
      <c r="G119" s="338">
        <f t="shared" si="30"/>
        <v>1</v>
      </c>
      <c r="H119" s="339">
        <f t="shared" si="31"/>
        <v>0</v>
      </c>
      <c r="I119" s="337">
        <f t="shared" si="32"/>
        <v>1166.4632264034894</v>
      </c>
      <c r="J119" s="340">
        <f t="shared" si="33"/>
        <v>1.5699390343403588</v>
      </c>
      <c r="K119" s="348">
        <f t="shared" si="34"/>
        <v>1.4864672671116081</v>
      </c>
      <c r="L119" s="349">
        <f t="shared" si="35"/>
        <v>0.83289588238962553</v>
      </c>
      <c r="M119" s="337">
        <f t="shared" si="36"/>
        <v>1.0001109549832294</v>
      </c>
      <c r="N119" s="340">
        <f t="shared" si="37"/>
        <v>1.4895954150512888E-2</v>
      </c>
      <c r="O119" s="341">
        <f t="shared" si="38"/>
        <v>0.99999047950121311</v>
      </c>
      <c r="P119" s="342">
        <f t="shared" si="39"/>
        <v>7.5497634281620415E-3</v>
      </c>
      <c r="Q119" s="343">
        <f t="shared" si="40"/>
        <v>22.353807297211652</v>
      </c>
      <c r="R119" s="344">
        <f t="shared" si="41"/>
        <v>-128.31105270942501</v>
      </c>
      <c r="S119" s="346">
        <f t="shared" si="42"/>
        <v>51.688947290574987</v>
      </c>
      <c r="U119" s="319">
        <f t="shared" si="49"/>
        <v>1000000000</v>
      </c>
      <c r="V119" s="319">
        <f t="shared" si="50"/>
        <v>38019556</v>
      </c>
      <c r="X119" s="345">
        <f t="shared" si="43"/>
        <v>39.811946677889779</v>
      </c>
      <c r="Y119" s="346">
        <f t="shared" si="44"/>
        <v>-43.082937279670645</v>
      </c>
      <c r="AA119" s="345">
        <f t="shared" si="45"/>
        <v>39.339907632238635</v>
      </c>
      <c r="AB119" s="346">
        <f t="shared" si="46"/>
        <v>-85.22811542975434</v>
      </c>
      <c r="AD119">
        <f t="shared" si="51"/>
        <v>0</v>
      </c>
      <c r="AE119">
        <f t="shared" si="52"/>
        <v>0</v>
      </c>
    </row>
    <row r="120" spans="1:31" x14ac:dyDescent="0.2">
      <c r="A120" s="347">
        <v>6237.8</v>
      </c>
      <c r="B120" s="364">
        <f t="shared" si="48"/>
        <v>6.2378</v>
      </c>
      <c r="C120" s="337">
        <f t="shared" si="26"/>
        <v>12.419995443231899</v>
      </c>
      <c r="D120" s="338">
        <f t="shared" si="27"/>
        <v>1.4901937515599215</v>
      </c>
      <c r="E120" s="338">
        <f t="shared" si="28"/>
        <v>1.0000442390211761</v>
      </c>
      <c r="F120" s="339">
        <f t="shared" si="29"/>
        <v>9.4061033726464769E-3</v>
      </c>
      <c r="G120" s="338">
        <f t="shared" si="30"/>
        <v>1</v>
      </c>
      <c r="H120" s="339">
        <f t="shared" si="31"/>
        <v>0</v>
      </c>
      <c r="I120" s="337">
        <f t="shared" si="32"/>
        <v>1180.0460999773518</v>
      </c>
      <c r="J120" s="340">
        <f t="shared" si="33"/>
        <v>1.5699489021733439</v>
      </c>
      <c r="K120" s="348">
        <f t="shared" si="34"/>
        <v>1.4959675724603385</v>
      </c>
      <c r="L120" s="349">
        <f t="shared" si="35"/>
        <v>0.83865510651314223</v>
      </c>
      <c r="M120" s="337">
        <f t="shared" si="36"/>
        <v>1.0001135539116282</v>
      </c>
      <c r="N120" s="340">
        <f t="shared" si="37"/>
        <v>1.5069384012650695E-2</v>
      </c>
      <c r="O120" s="341">
        <f t="shared" si="38"/>
        <v>0.99999025650359041</v>
      </c>
      <c r="P120" s="342">
        <f t="shared" si="39"/>
        <v>7.6376800672006964E-3</v>
      </c>
      <c r="Q120" s="343">
        <f t="shared" si="40"/>
        <v>22.208674539570342</v>
      </c>
      <c r="R120" s="344">
        <f t="shared" si="41"/>
        <v>-128.04394975488594</v>
      </c>
      <c r="S120" s="346">
        <f t="shared" si="42"/>
        <v>51.956050245114056</v>
      </c>
      <c r="U120" s="319">
        <f t="shared" si="49"/>
        <v>1000000000</v>
      </c>
      <c r="V120" s="319">
        <f t="shared" si="50"/>
        <v>38910148.840000004</v>
      </c>
      <c r="X120" s="345">
        <f t="shared" si="43"/>
        <v>39.76670225375431</v>
      </c>
      <c r="Y120" s="346">
        <f t="shared" si="44"/>
        <v>-42.763460228083176</v>
      </c>
      <c r="AA120" s="345">
        <f t="shared" si="45"/>
        <v>39.24001929873279</v>
      </c>
      <c r="AB120" s="346">
        <f t="shared" si="46"/>
        <v>-85.280489526802782</v>
      </c>
      <c r="AD120">
        <f t="shared" si="51"/>
        <v>0</v>
      </c>
      <c r="AE120">
        <f t="shared" si="52"/>
        <v>0</v>
      </c>
    </row>
    <row r="121" spans="1:31" x14ac:dyDescent="0.2">
      <c r="A121" s="347">
        <v>6309.6</v>
      </c>
      <c r="B121" s="364">
        <f t="shared" si="48"/>
        <v>6.3096000000000005</v>
      </c>
      <c r="C121" s="337">
        <f t="shared" si="26"/>
        <v>12.562033878880726</v>
      </c>
      <c r="D121" s="338">
        <f t="shared" si="27"/>
        <v>1.4911070670242978</v>
      </c>
      <c r="E121" s="338">
        <f t="shared" si="28"/>
        <v>1.0000452632829764</v>
      </c>
      <c r="F121" s="339">
        <f t="shared" si="29"/>
        <v>9.5143655320180792E-3</v>
      </c>
      <c r="G121" s="338">
        <f t="shared" si="30"/>
        <v>1</v>
      </c>
      <c r="H121" s="339">
        <f t="shared" si="31"/>
        <v>0</v>
      </c>
      <c r="I121" s="337">
        <f t="shared" si="32"/>
        <v>1193.6289736635049</v>
      </c>
      <c r="J121" s="340">
        <f t="shared" si="33"/>
        <v>1.5699585454247691</v>
      </c>
      <c r="K121" s="348">
        <f t="shared" si="34"/>
        <v>1.5055168698722223</v>
      </c>
      <c r="L121" s="349">
        <f t="shared" si="35"/>
        <v>0.84434145724411436</v>
      </c>
      <c r="M121" s="337">
        <f t="shared" si="36"/>
        <v>1.0001161829212029</v>
      </c>
      <c r="N121" s="340">
        <f t="shared" si="37"/>
        <v>1.5242812968213258E-2</v>
      </c>
      <c r="O121" s="341">
        <f t="shared" si="38"/>
        <v>0.99999003092505878</v>
      </c>
      <c r="P121" s="342">
        <f t="shared" si="39"/>
        <v>7.7255968244252203E-3</v>
      </c>
      <c r="Q121" s="343">
        <f t="shared" si="40"/>
        <v>22.065753455323147</v>
      </c>
      <c r="R121" s="344">
        <f t="shared" si="41"/>
        <v>-127.77979853747209</v>
      </c>
      <c r="S121" s="346">
        <f t="shared" si="42"/>
        <v>52.220201462527911</v>
      </c>
      <c r="U121" s="319">
        <f t="shared" si="49"/>
        <v>1000000000</v>
      </c>
      <c r="V121" s="319">
        <f t="shared" si="50"/>
        <v>39811052.160000004</v>
      </c>
      <c r="X121" s="345">
        <f t="shared" si="43"/>
        <v>39.722540790459846</v>
      </c>
      <c r="Y121" s="346">
        <f t="shared" si="44"/>
        <v>-42.448145594813575</v>
      </c>
      <c r="AA121" s="345">
        <f t="shared" si="45"/>
        <v>39.141259677780063</v>
      </c>
      <c r="AB121" s="346">
        <f t="shared" si="46"/>
        <v>-85.331652942658522</v>
      </c>
      <c r="AD121">
        <f t="shared" si="51"/>
        <v>0</v>
      </c>
      <c r="AE121">
        <f t="shared" si="52"/>
        <v>0</v>
      </c>
    </row>
    <row r="122" spans="1:31" x14ac:dyDescent="0.2">
      <c r="A122" s="347">
        <v>6383.05</v>
      </c>
      <c r="B122" s="364">
        <f t="shared" si="48"/>
        <v>6.3830499999999999</v>
      </c>
      <c r="C122" s="337">
        <f t="shared" si="26"/>
        <v>12.707347026349243</v>
      </c>
      <c r="D122" s="338">
        <f t="shared" si="27"/>
        <v>1.49202024349623</v>
      </c>
      <c r="E122" s="338">
        <f t="shared" si="28"/>
        <v>1.0000463232111616</v>
      </c>
      <c r="F122" s="339">
        <f t="shared" si="29"/>
        <v>9.6251153792904498E-3</v>
      </c>
      <c r="G122" s="338">
        <f t="shared" si="30"/>
        <v>1</v>
      </c>
      <c r="H122" s="339">
        <f t="shared" si="31"/>
        <v>0</v>
      </c>
      <c r="I122" s="337">
        <f t="shared" si="32"/>
        <v>1207.5239887095604</v>
      </c>
      <c r="J122" s="340">
        <f t="shared" si="33"/>
        <v>1.5699681858025412</v>
      </c>
      <c r="K122" s="348">
        <f t="shared" si="34"/>
        <v>1.5153353429677798</v>
      </c>
      <c r="L122" s="349">
        <f t="shared" si="35"/>
        <v>0.85008413533932448</v>
      </c>
      <c r="M122" s="337">
        <f t="shared" si="36"/>
        <v>1.0001189034725277</v>
      </c>
      <c r="N122" s="340">
        <f t="shared" si="37"/>
        <v>1.5420226459195491E-2</v>
      </c>
      <c r="O122" s="341">
        <f t="shared" si="38"/>
        <v>0.9999897974920906</v>
      </c>
      <c r="P122" s="342">
        <f t="shared" si="39"/>
        <v>7.8155340765209934E-3</v>
      </c>
      <c r="Q122" s="343">
        <f t="shared" si="40"/>
        <v>21.921776687295189</v>
      </c>
      <c r="R122" s="344">
        <f t="shared" si="41"/>
        <v>-127.51261340035829</v>
      </c>
      <c r="S122" s="346">
        <f t="shared" si="42"/>
        <v>52.487386599641709</v>
      </c>
      <c r="U122" s="319">
        <f t="shared" si="49"/>
        <v>1000000000</v>
      </c>
      <c r="V122" s="319">
        <f t="shared" si="50"/>
        <v>40743327.302500002</v>
      </c>
      <c r="X122" s="345">
        <f t="shared" si="43"/>
        <v>39.678451387845669</v>
      </c>
      <c r="Y122" s="346">
        <f t="shared" si="44"/>
        <v>-42.129831773713299</v>
      </c>
      <c r="AA122" s="345">
        <f t="shared" si="45"/>
        <v>39.041372312366285</v>
      </c>
      <c r="AB122" s="346">
        <f t="shared" si="46"/>
        <v>-85.382781626644956</v>
      </c>
      <c r="AD122">
        <f t="shared" si="51"/>
        <v>0</v>
      </c>
      <c r="AE122">
        <f t="shared" si="52"/>
        <v>0</v>
      </c>
    </row>
    <row r="123" spans="1:31" x14ac:dyDescent="0.2">
      <c r="A123" s="347">
        <v>6456.5</v>
      </c>
      <c r="B123" s="364">
        <f t="shared" si="48"/>
        <v>6.4565000000000001</v>
      </c>
      <c r="C123" s="337">
        <f t="shared" si="26"/>
        <v>12.852670530747909</v>
      </c>
      <c r="D123" s="338">
        <f t="shared" si="27"/>
        <v>1.4929127703589606</v>
      </c>
      <c r="E123" s="338">
        <f t="shared" si="28"/>
        <v>1.0000473954054174</v>
      </c>
      <c r="F123" s="339">
        <f t="shared" si="29"/>
        <v>9.7358649904417741E-3</v>
      </c>
      <c r="G123" s="338">
        <f t="shared" si="30"/>
        <v>1</v>
      </c>
      <c r="H123" s="339">
        <f t="shared" si="31"/>
        <v>0</v>
      </c>
      <c r="I123" s="337">
        <f t="shared" si="32"/>
        <v>1221.4190038652862</v>
      </c>
      <c r="J123" s="340">
        <f t="shared" si="33"/>
        <v>1.5699776068400306</v>
      </c>
      <c r="K123" s="348">
        <f t="shared" si="34"/>
        <v>1.5252031449668195</v>
      </c>
      <c r="L123" s="349">
        <f t="shared" si="35"/>
        <v>0.85575269008909771</v>
      </c>
      <c r="M123" s="337">
        <f t="shared" si="36"/>
        <v>1.0001216555029699</v>
      </c>
      <c r="N123" s="340">
        <f t="shared" si="37"/>
        <v>1.5597638979385981E-2</v>
      </c>
      <c r="O123" s="341">
        <f t="shared" si="38"/>
        <v>0.9999895613582851</v>
      </c>
      <c r="P123" s="342">
        <f t="shared" si="39"/>
        <v>7.9054714551768605E-3</v>
      </c>
      <c r="Q123" s="343">
        <f t="shared" si="40"/>
        <v>21.779995136015607</v>
      </c>
      <c r="R123" s="344">
        <f t="shared" si="41"/>
        <v>-127.24847948053436</v>
      </c>
      <c r="S123" s="346">
        <f t="shared" si="42"/>
        <v>52.751520519465643</v>
      </c>
      <c r="U123" s="319">
        <f t="shared" si="49"/>
        <v>1000000000</v>
      </c>
      <c r="V123" s="319">
        <f t="shared" si="50"/>
        <v>41686392.25</v>
      </c>
      <c r="X123" s="345">
        <f t="shared" si="43"/>
        <v>39.635428164339302</v>
      </c>
      <c r="Y123" s="346">
        <f t="shared" si="44"/>
        <v>-41.815752284580043</v>
      </c>
      <c r="AA123" s="345">
        <f t="shared" si="45"/>
        <v>38.942613984593059</v>
      </c>
      <c r="AB123" s="346">
        <f t="shared" si="46"/>
        <v>-85.432727195954328</v>
      </c>
      <c r="AD123">
        <f t="shared" si="51"/>
        <v>0</v>
      </c>
      <c r="AE123">
        <f t="shared" si="52"/>
        <v>0</v>
      </c>
    </row>
    <row r="124" spans="1:31" x14ac:dyDescent="0.2">
      <c r="A124" s="347">
        <v>6531.7</v>
      </c>
      <c r="B124" s="364">
        <f t="shared" si="48"/>
        <v>6.5316999999999998</v>
      </c>
      <c r="C124" s="337">
        <f t="shared" si="26"/>
        <v>13.001466841336322</v>
      </c>
      <c r="D124" s="338">
        <f t="shared" si="27"/>
        <v>1.4938058904811609</v>
      </c>
      <c r="E124" s="338">
        <f t="shared" si="28"/>
        <v>1.0000485058533692</v>
      </c>
      <c r="F124" s="339">
        <f t="shared" si="29"/>
        <v>9.8492530446613602E-3</v>
      </c>
      <c r="G124" s="338">
        <f t="shared" si="30"/>
        <v>1</v>
      </c>
      <c r="H124" s="339">
        <f t="shared" si="31"/>
        <v>0</v>
      </c>
      <c r="I124" s="337">
        <f t="shared" si="32"/>
        <v>1235.6450780350924</v>
      </c>
      <c r="J124" s="340">
        <f t="shared" si="33"/>
        <v>1.5699870328261547</v>
      </c>
      <c r="K124" s="348">
        <f t="shared" si="34"/>
        <v>1.5353561671863982</v>
      </c>
      <c r="L124" s="349">
        <f t="shared" si="35"/>
        <v>0.86148062467909026</v>
      </c>
      <c r="M124" s="337">
        <f t="shared" si="36"/>
        <v>1.0001245057153518</v>
      </c>
      <c r="N124" s="340">
        <f t="shared" si="37"/>
        <v>1.5779277465282786E-2</v>
      </c>
      <c r="O124" s="341">
        <f t="shared" si="38"/>
        <v>0.99998931680032066</v>
      </c>
      <c r="P124" s="342">
        <f t="shared" si="39"/>
        <v>7.9975517903343434E-3</v>
      </c>
      <c r="Q124" s="343">
        <f t="shared" si="40"/>
        <v>21.637050092885623</v>
      </c>
      <c r="R124" s="344">
        <f t="shared" si="41"/>
        <v>-126.98119136198403</v>
      </c>
      <c r="S124" s="346">
        <f t="shared" si="42"/>
        <v>53.018808638015969</v>
      </c>
      <c r="U124" s="319">
        <f t="shared" si="49"/>
        <v>1000000000</v>
      </c>
      <c r="V124" s="319">
        <f t="shared" si="50"/>
        <v>42663104.890000001</v>
      </c>
      <c r="X124" s="345">
        <f t="shared" si="43"/>
        <v>39.592450909340435</v>
      </c>
      <c r="Y124" s="346">
        <f t="shared" si="44"/>
        <v>-41.498512994745667</v>
      </c>
      <c r="AA124" s="345">
        <f t="shared" si="45"/>
        <v>38.842646196461942</v>
      </c>
      <c r="AB124" s="346">
        <f t="shared" si="46"/>
        <v>-85.482678367238364</v>
      </c>
      <c r="AD124">
        <f t="shared" si="51"/>
        <v>0</v>
      </c>
      <c r="AE124">
        <f t="shared" si="52"/>
        <v>0</v>
      </c>
    </row>
    <row r="125" spans="1:31" x14ac:dyDescent="0.2">
      <c r="A125" s="347">
        <v>6606.9</v>
      </c>
      <c r="B125" s="364">
        <f t="shared" si="48"/>
        <v>6.6068999999999996</v>
      </c>
      <c r="C125" s="337">
        <f t="shared" si="26"/>
        <v>13.150273288023561</v>
      </c>
      <c r="D125" s="338">
        <f t="shared" si="27"/>
        <v>1.4946787984698626</v>
      </c>
      <c r="E125" s="338">
        <f t="shared" si="28"/>
        <v>1.0000496291587668</v>
      </c>
      <c r="F125" s="339">
        <f t="shared" si="29"/>
        <v>9.9626408456125713E-3</v>
      </c>
      <c r="G125" s="338">
        <f t="shared" si="30"/>
        <v>1</v>
      </c>
      <c r="H125" s="339">
        <f t="shared" si="31"/>
        <v>0</v>
      </c>
      <c r="I125" s="337">
        <f t="shared" si="32"/>
        <v>1249.8711523121854</v>
      </c>
      <c r="J125" s="340">
        <f t="shared" si="33"/>
        <v>1.5699962442385158</v>
      </c>
      <c r="K125" s="348">
        <f t="shared" si="34"/>
        <v>1.5455589004822785</v>
      </c>
      <c r="L125" s="349">
        <f t="shared" si="35"/>
        <v>0.86713311880145161</v>
      </c>
      <c r="M125" s="337">
        <f t="shared" si="36"/>
        <v>1.0001273889241924</v>
      </c>
      <c r="N125" s="340">
        <f t="shared" si="37"/>
        <v>1.5960914909902282E-2</v>
      </c>
      <c r="O125" s="341">
        <f t="shared" si="38"/>
        <v>0.99998906941134802</v>
      </c>
      <c r="P125" s="342">
        <f t="shared" si="39"/>
        <v>8.0896322612439356E-3</v>
      </c>
      <c r="Q125" s="343">
        <f t="shared" si="40"/>
        <v>21.496286880571539</v>
      </c>
      <c r="R125" s="344">
        <f t="shared" si="41"/>
        <v>-126.71705526235007</v>
      </c>
      <c r="S125" s="346">
        <f t="shared" si="42"/>
        <v>53.282944737649927</v>
      </c>
      <c r="U125" s="319">
        <f t="shared" si="49"/>
        <v>1000000000</v>
      </c>
      <c r="V125" s="319">
        <f t="shared" si="50"/>
        <v>43651127.609999992</v>
      </c>
      <c r="X125" s="345">
        <f t="shared" si="43"/>
        <v>39.550524305623448</v>
      </c>
      <c r="Y125" s="346">
        <f t="shared" si="44"/>
        <v>-41.185583771484168</v>
      </c>
      <c r="AA125" s="345">
        <f t="shared" si="45"/>
        <v>38.743809587864853</v>
      </c>
      <c r="AB125" s="346">
        <f t="shared" si="46"/>
        <v>-85.531471490865911</v>
      </c>
      <c r="AD125">
        <f t="shared" si="51"/>
        <v>0</v>
      </c>
      <c r="AE125">
        <f t="shared" si="52"/>
        <v>0</v>
      </c>
    </row>
    <row r="126" spans="1:31" x14ac:dyDescent="0.2">
      <c r="A126" s="347">
        <v>6683.85</v>
      </c>
      <c r="B126" s="364">
        <f t="shared" si="48"/>
        <v>6.6838500000000005</v>
      </c>
      <c r="C126" s="337">
        <f t="shared" si="26"/>
        <v>13.302552788500202</v>
      </c>
      <c r="D126" s="338">
        <f t="shared" si="27"/>
        <v>1.4955518032332931</v>
      </c>
      <c r="E126" s="338">
        <f t="shared" si="28"/>
        <v>1.0000507919146111</v>
      </c>
      <c r="F126" s="339">
        <f t="shared" si="29"/>
        <v>1.0078667060223838E-2</v>
      </c>
      <c r="G126" s="338">
        <f t="shared" si="30"/>
        <v>1</v>
      </c>
      <c r="H126" s="339">
        <f t="shared" si="31"/>
        <v>0</v>
      </c>
      <c r="I126" s="337">
        <f t="shared" si="32"/>
        <v>1264.4282856059356</v>
      </c>
      <c r="J126" s="340">
        <f t="shared" si="33"/>
        <v>1.5700054554456631</v>
      </c>
      <c r="K126" s="348">
        <f t="shared" si="34"/>
        <v>1.5560495040857405</v>
      </c>
      <c r="L126" s="349">
        <f t="shared" si="35"/>
        <v>0.87284023449023018</v>
      </c>
      <c r="M126" s="337">
        <f t="shared" si="36"/>
        <v>1.0001303733858835</v>
      </c>
      <c r="N126" s="340">
        <f t="shared" si="37"/>
        <v>1.6146778199334987E-2</v>
      </c>
      <c r="O126" s="341">
        <f t="shared" si="38"/>
        <v>0.9999888133347542</v>
      </c>
      <c r="P126" s="342">
        <f t="shared" si="39"/>
        <v>8.1838557044190963E-3</v>
      </c>
      <c r="Q126" s="343">
        <f t="shared" si="40"/>
        <v>21.354446850306701</v>
      </c>
      <c r="R126" s="344">
        <f t="shared" si="41"/>
        <v>-126.45000884688412</v>
      </c>
      <c r="S126" s="346">
        <f t="shared" si="42"/>
        <v>53.549991153115883</v>
      </c>
      <c r="U126" s="319">
        <f t="shared" si="49"/>
        <v>1000000000</v>
      </c>
      <c r="V126" s="319">
        <f t="shared" si="50"/>
        <v>44673850.822500005</v>
      </c>
      <c r="X126" s="345">
        <f t="shared" si="43"/>
        <v>39.508676204307193</v>
      </c>
      <c r="Y126" s="346">
        <f t="shared" si="44"/>
        <v>-40.869767074308058</v>
      </c>
      <c r="AA126" s="345">
        <f t="shared" si="45"/>
        <v>38.643817658916277</v>
      </c>
      <c r="AB126" s="346">
        <f t="shared" si="46"/>
        <v>-85.580241772576045</v>
      </c>
      <c r="AD126">
        <f t="shared" si="51"/>
        <v>0</v>
      </c>
      <c r="AE126">
        <f t="shared" si="52"/>
        <v>0</v>
      </c>
    </row>
    <row r="127" spans="1:31" x14ac:dyDescent="0.2">
      <c r="A127" s="347">
        <v>6760.8</v>
      </c>
      <c r="B127" s="364">
        <f t="shared" si="48"/>
        <v>6.7608000000000006</v>
      </c>
      <c r="C127" s="337">
        <f t="shared" si="26"/>
        <v>13.454842197855726</v>
      </c>
      <c r="D127" s="338">
        <f t="shared" si="27"/>
        <v>1.4964050463250189</v>
      </c>
      <c r="E127" s="338">
        <f t="shared" si="28"/>
        <v>1.0000519681331901</v>
      </c>
      <c r="F127" s="339">
        <f t="shared" si="29"/>
        <v>1.0194693003466856E-2</v>
      </c>
      <c r="G127" s="338">
        <f t="shared" si="30"/>
        <v>1</v>
      </c>
      <c r="H127" s="339">
        <f t="shared" si="31"/>
        <v>0</v>
      </c>
      <c r="I127" s="337">
        <f t="shared" si="32"/>
        <v>1278.9854190045255</v>
      </c>
      <c r="J127" s="340">
        <f t="shared" si="33"/>
        <v>1.5700144569729051</v>
      </c>
      <c r="K127" s="348">
        <f t="shared" si="34"/>
        <v>1.5665901103015154</v>
      </c>
      <c r="L127" s="349">
        <f t="shared" si="35"/>
        <v>0.8784707322916866</v>
      </c>
      <c r="M127" s="337">
        <f t="shared" si="36"/>
        <v>1.0001333923970337</v>
      </c>
      <c r="N127" s="340">
        <f t="shared" si="37"/>
        <v>1.6332640373091289E-2</v>
      </c>
      <c r="O127" s="341">
        <f t="shared" si="38"/>
        <v>0.99998855429392375</v>
      </c>
      <c r="P127" s="342">
        <f t="shared" si="39"/>
        <v>8.2780792930491464E-3</v>
      </c>
      <c r="Q127" s="343">
        <f t="shared" si="40"/>
        <v>21.214772350544251</v>
      </c>
      <c r="R127" s="344">
        <f t="shared" si="41"/>
        <v>-126.18620799880085</v>
      </c>
      <c r="S127" s="346">
        <f t="shared" si="42"/>
        <v>53.813792001199147</v>
      </c>
      <c r="U127" s="319">
        <f t="shared" si="49"/>
        <v>1000000000</v>
      </c>
      <c r="V127" s="319">
        <f t="shared" si="50"/>
        <v>45708416.640000001</v>
      </c>
      <c r="X127" s="345">
        <f t="shared" si="43"/>
        <v>39.46786159038809</v>
      </c>
      <c r="Y127" s="346">
        <f t="shared" si="44"/>
        <v>-40.558328181018545</v>
      </c>
      <c r="AA127" s="345">
        <f t="shared" si="45"/>
        <v>38.544957773072923</v>
      </c>
      <c r="AB127" s="346">
        <f t="shared" si="46"/>
        <v>-85.627879817782301</v>
      </c>
      <c r="AD127">
        <f t="shared" si="51"/>
        <v>0</v>
      </c>
      <c r="AE127">
        <f t="shared" si="52"/>
        <v>0</v>
      </c>
    </row>
    <row r="128" spans="1:31" x14ac:dyDescent="0.2">
      <c r="A128" s="347">
        <v>6839.55</v>
      </c>
      <c r="B128" s="364">
        <f t="shared" si="48"/>
        <v>6.83955</v>
      </c>
      <c r="C128" s="337">
        <f t="shared" si="26"/>
        <v>13.610703844789603</v>
      </c>
      <c r="D128" s="338">
        <f t="shared" si="27"/>
        <v>1.4972584787234728</v>
      </c>
      <c r="E128" s="338">
        <f t="shared" si="28"/>
        <v>1.0000531858043991</v>
      </c>
      <c r="F128" s="339">
        <f t="shared" si="29"/>
        <v>1.0313432719639012E-2</v>
      </c>
      <c r="G128" s="338">
        <f t="shared" si="30"/>
        <v>1</v>
      </c>
      <c r="H128" s="339">
        <f t="shared" si="31"/>
        <v>0</v>
      </c>
      <c r="I128" s="337">
        <f t="shared" si="32"/>
        <v>1293.8830702482885</v>
      </c>
      <c r="J128" s="340">
        <f t="shared" si="33"/>
        <v>1.5700234593522751</v>
      </c>
      <c r="K128" s="348">
        <f t="shared" si="34"/>
        <v>1.5774280052348972</v>
      </c>
      <c r="L128" s="349">
        <f t="shared" si="35"/>
        <v>0.88415484443992221</v>
      </c>
      <c r="M128" s="337">
        <f t="shared" si="36"/>
        <v>1.0001365177991746</v>
      </c>
      <c r="N128" s="340">
        <f t="shared" si="37"/>
        <v>1.652284903151844E-2</v>
      </c>
      <c r="O128" s="341">
        <f t="shared" si="38"/>
        <v>0.99998828612463853</v>
      </c>
      <c r="P128" s="342">
        <f t="shared" si="39"/>
        <v>8.3745070945775921E-3</v>
      </c>
      <c r="Q128" s="343">
        <f t="shared" si="40"/>
        <v>21.074013185182842</v>
      </c>
      <c r="R128" s="344">
        <f t="shared" si="41"/>
        <v>-125.91956600981064</v>
      </c>
      <c r="S128" s="346">
        <f t="shared" si="42"/>
        <v>54.080433990189363</v>
      </c>
      <c r="U128" s="319">
        <f t="shared" si="49"/>
        <v>1000000000</v>
      </c>
      <c r="V128" s="319">
        <f t="shared" si="50"/>
        <v>46779444.202500001</v>
      </c>
      <c r="X128" s="345">
        <f t="shared" si="43"/>
        <v>39.427129033211543</v>
      </c>
      <c r="Y128" s="346">
        <f t="shared" si="44"/>
        <v>-40.244066495984704</v>
      </c>
      <c r="AA128" s="345">
        <f t="shared" si="45"/>
        <v>38.444931164888061</v>
      </c>
      <c r="AB128" s="346">
        <f t="shared" si="46"/>
        <v>-85.675499513825898</v>
      </c>
      <c r="AD128">
        <f t="shared" si="51"/>
        <v>0</v>
      </c>
      <c r="AE128">
        <f t="shared" si="52"/>
        <v>0</v>
      </c>
    </row>
    <row r="129" spans="1:31" x14ac:dyDescent="0.2">
      <c r="A129" s="347">
        <v>6918.3</v>
      </c>
      <c r="B129" s="364">
        <f t="shared" si="48"/>
        <v>6.9183000000000003</v>
      </c>
      <c r="C129" s="337">
        <f t="shared" si="26"/>
        <v>13.766575180560711</v>
      </c>
      <c r="D129" s="338">
        <f t="shared" si="27"/>
        <v>1.4980925858296132</v>
      </c>
      <c r="E129" s="338">
        <f t="shared" si="28"/>
        <v>1.0000544175754438</v>
      </c>
      <c r="F129" s="339">
        <f t="shared" si="29"/>
        <v>1.0432172144980913E-2</v>
      </c>
      <c r="G129" s="338">
        <f t="shared" si="30"/>
        <v>1</v>
      </c>
      <c r="H129" s="339">
        <f t="shared" si="31"/>
        <v>0</v>
      </c>
      <c r="I129" s="337">
        <f t="shared" si="32"/>
        <v>1308.780721594524</v>
      </c>
      <c r="J129" s="340">
        <f t="shared" si="33"/>
        <v>1.570032256786223</v>
      </c>
      <c r="K129" s="348">
        <f t="shared" si="34"/>
        <v>1.5883161690182526</v>
      </c>
      <c r="L129" s="349">
        <f t="shared" si="35"/>
        <v>0.88976120465215547</v>
      </c>
      <c r="M129" s="337">
        <f t="shared" si="36"/>
        <v>1.0001396793853616</v>
      </c>
      <c r="N129" s="340">
        <f t="shared" si="37"/>
        <v>1.6713056494272967E-2</v>
      </c>
      <c r="O129" s="341">
        <f t="shared" si="38"/>
        <v>0.99998801485089017</v>
      </c>
      <c r="P129" s="342">
        <f t="shared" si="39"/>
        <v>8.470935051994059E-3</v>
      </c>
      <c r="Q129" s="343">
        <f t="shared" si="40"/>
        <v>20.935403277923804</v>
      </c>
      <c r="R129" s="344">
        <f t="shared" si="41"/>
        <v>-125.65625983549904</v>
      </c>
      <c r="S129" s="346">
        <f t="shared" si="42"/>
        <v>54.343740164500957</v>
      </c>
      <c r="U129" s="319">
        <f t="shared" si="49"/>
        <v>1000000000</v>
      </c>
      <c r="V129" s="319">
        <f t="shared" si="50"/>
        <v>47862874.890000001</v>
      </c>
      <c r="X129" s="345">
        <f t="shared" si="43"/>
        <v>39.387412602299932</v>
      </c>
      <c r="Y129" s="346">
        <f t="shared" si="44"/>
        <v>-39.93424785772315</v>
      </c>
      <c r="AA129" s="345">
        <f t="shared" si="45"/>
        <v>38.346037688540633</v>
      </c>
      <c r="AB129" s="346">
        <f t="shared" si="46"/>
        <v>-85.722011977775892</v>
      </c>
      <c r="AD129">
        <f t="shared" si="51"/>
        <v>0</v>
      </c>
      <c r="AE129">
        <f t="shared" si="52"/>
        <v>0</v>
      </c>
    </row>
    <row r="130" spans="1:31" x14ac:dyDescent="0.2">
      <c r="A130" s="347">
        <v>6998.9</v>
      </c>
      <c r="B130" s="364">
        <f t="shared" si="48"/>
        <v>6.9988999999999999</v>
      </c>
      <c r="C130" s="337">
        <f t="shared" si="26"/>
        <v>13.926117949049438</v>
      </c>
      <c r="D130" s="338">
        <f t="shared" si="27"/>
        <v>1.4989269522468096</v>
      </c>
      <c r="E130" s="338">
        <f t="shared" si="28"/>
        <v>1.0000556928838553</v>
      </c>
      <c r="F130" s="339">
        <f t="shared" si="29"/>
        <v>1.0553700699789989E-2</v>
      </c>
      <c r="G130" s="338">
        <f t="shared" si="30"/>
        <v>1</v>
      </c>
      <c r="H130" s="339">
        <f t="shared" si="31"/>
        <v>0</v>
      </c>
      <c r="I130" s="337">
        <f t="shared" si="32"/>
        <v>1324.0283496145703</v>
      </c>
      <c r="J130" s="340">
        <f t="shared" si="33"/>
        <v>1.5700410558859592</v>
      </c>
      <c r="K130" s="348">
        <f t="shared" si="34"/>
        <v>1.5995111009579686</v>
      </c>
      <c r="L130" s="349">
        <f t="shared" si="35"/>
        <v>0.89542004978361189</v>
      </c>
      <c r="M130" s="337">
        <f t="shared" si="36"/>
        <v>1.0001429527124612</v>
      </c>
      <c r="N130" s="340">
        <f t="shared" si="37"/>
        <v>1.6907731070331951E-2</v>
      </c>
      <c r="O130" s="341">
        <f t="shared" si="38"/>
        <v>0.99998773398968599</v>
      </c>
      <c r="P130" s="342">
        <f t="shared" si="39"/>
        <v>8.5696284644059106E-3</v>
      </c>
      <c r="Q130" s="343">
        <f t="shared" si="40"/>
        <v>20.795703330333598</v>
      </c>
      <c r="R130" s="344">
        <f t="shared" si="41"/>
        <v>-125.39018739209835</v>
      </c>
      <c r="S130" s="346">
        <f t="shared" si="42"/>
        <v>54.609812607901645</v>
      </c>
      <c r="U130" s="319">
        <f t="shared" si="49"/>
        <v>1000000000</v>
      </c>
      <c r="V130" s="319">
        <f t="shared" si="50"/>
        <v>48984601.209999993</v>
      </c>
      <c r="X130" s="345">
        <f t="shared" si="43"/>
        <v>39.347782305297706</v>
      </c>
      <c r="Y130" s="346">
        <f t="shared" si="44"/>
        <v>-39.621678097280459</v>
      </c>
      <c r="AA130" s="345">
        <f t="shared" si="45"/>
        <v>38.245968037952657</v>
      </c>
      <c r="AB130" s="346">
        <f t="shared" si="46"/>
        <v>-85.768509294817889</v>
      </c>
      <c r="AD130">
        <f t="shared" si="51"/>
        <v>0</v>
      </c>
      <c r="AE130">
        <f t="shared" si="52"/>
        <v>0</v>
      </c>
    </row>
    <row r="131" spans="1:31" x14ac:dyDescent="0.2">
      <c r="A131" s="347">
        <v>7079.5</v>
      </c>
      <c r="B131" s="364">
        <f t="shared" si="48"/>
        <v>7.0795000000000003</v>
      </c>
      <c r="C131" s="337">
        <f t="shared" si="26"/>
        <v>14.08567019282175</v>
      </c>
      <c r="D131" s="338">
        <f t="shared" si="27"/>
        <v>1.4997424170272231</v>
      </c>
      <c r="E131" s="338">
        <f t="shared" si="28"/>
        <v>1.0000569829622412</v>
      </c>
      <c r="F131" s="339">
        <f t="shared" si="29"/>
        <v>1.0675228942849082E-2</v>
      </c>
      <c r="G131" s="338">
        <f t="shared" si="30"/>
        <v>1</v>
      </c>
      <c r="H131" s="339">
        <f t="shared" si="31"/>
        <v>0</v>
      </c>
      <c r="I131" s="337">
        <f t="shared" si="32"/>
        <v>1339.2759777347942</v>
      </c>
      <c r="J131" s="340">
        <f t="shared" si="33"/>
        <v>1.5700496546305744</v>
      </c>
      <c r="K131" s="348">
        <f t="shared" si="34"/>
        <v>1.6107565403635795</v>
      </c>
      <c r="L131" s="349">
        <f t="shared" si="35"/>
        <v>0.9010000574804512</v>
      </c>
      <c r="M131" s="337">
        <f t="shared" si="36"/>
        <v>1.0001462639429202</v>
      </c>
      <c r="N131" s="340">
        <f t="shared" si="37"/>
        <v>1.710240436473243E-2</v>
      </c>
      <c r="O131" s="341">
        <f t="shared" si="38"/>
        <v>0.99998744987652555</v>
      </c>
      <c r="P131" s="342">
        <f t="shared" si="39"/>
        <v>8.668322043920533E-3</v>
      </c>
      <c r="Q131" s="343">
        <f t="shared" si="40"/>
        <v>20.658136320751446</v>
      </c>
      <c r="R131" s="344">
        <f t="shared" si="41"/>
        <v>-125.12753749145897</v>
      </c>
      <c r="S131" s="346">
        <f t="shared" si="42"/>
        <v>54.872462508541034</v>
      </c>
      <c r="U131" s="319">
        <f t="shared" si="49"/>
        <v>1000000000</v>
      </c>
      <c r="V131" s="319">
        <f t="shared" si="50"/>
        <v>50119320.25</v>
      </c>
      <c r="X131" s="345">
        <f t="shared" si="43"/>
        <v>39.309150548519668</v>
      </c>
      <c r="Y131" s="346">
        <f t="shared" si="44"/>
        <v>-39.313613836177652</v>
      </c>
      <c r="AA131" s="345">
        <f t="shared" si="45"/>
        <v>38.147032785148539</v>
      </c>
      <c r="AB131" s="346">
        <f t="shared" si="46"/>
        <v>-85.813923655281343</v>
      </c>
      <c r="AD131">
        <f t="shared" si="51"/>
        <v>0</v>
      </c>
      <c r="AE131">
        <f t="shared" si="52"/>
        <v>0</v>
      </c>
    </row>
    <row r="132" spans="1:31" x14ac:dyDescent="0.2">
      <c r="A132" s="347">
        <v>7161.95</v>
      </c>
      <c r="B132" s="364">
        <f t="shared" si="48"/>
        <v>7.16195</v>
      </c>
      <c r="C132" s="337">
        <f t="shared" si="26"/>
        <v>14.248894088031825</v>
      </c>
      <c r="D132" s="338">
        <f t="shared" si="27"/>
        <v>1.5005577025635402</v>
      </c>
      <c r="E132" s="338">
        <f t="shared" si="28"/>
        <v>1.0000583179339324</v>
      </c>
      <c r="F132" s="339">
        <f t="shared" si="29"/>
        <v>1.0799546279572277E-2</v>
      </c>
      <c r="G132" s="338">
        <f t="shared" si="30"/>
        <v>1</v>
      </c>
      <c r="H132" s="339">
        <f t="shared" si="31"/>
        <v>0</v>
      </c>
      <c r="I132" s="337">
        <f t="shared" si="32"/>
        <v>1354.8735825311051</v>
      </c>
      <c r="J132" s="340">
        <f t="shared" si="33"/>
        <v>1.5700582504874934</v>
      </c>
      <c r="K132" s="348">
        <f t="shared" si="34"/>
        <v>1.6223112593050428</v>
      </c>
      <c r="L132" s="349">
        <f t="shared" si="35"/>
        <v>0.90662792066709053</v>
      </c>
      <c r="M132" s="337">
        <f t="shared" si="36"/>
        <v>1.0001496903935034</v>
      </c>
      <c r="N132" s="340">
        <f t="shared" si="37"/>
        <v>1.7301544625265331E-2</v>
      </c>
      <c r="O132" s="341">
        <f t="shared" si="38"/>
        <v>0.99998715587742515</v>
      </c>
      <c r="P132" s="342">
        <f t="shared" si="39"/>
        <v>8.7692810976231286E-3</v>
      </c>
      <c r="Q132" s="343">
        <f t="shared" si="40"/>
        <v>20.519559513440484</v>
      </c>
      <c r="R132" s="344">
        <f t="shared" si="41"/>
        <v>-124.8623611749622</v>
      </c>
      <c r="S132" s="346">
        <f t="shared" si="42"/>
        <v>55.137638825037797</v>
      </c>
      <c r="U132" s="319">
        <f t="shared" si="49"/>
        <v>1000000000</v>
      </c>
      <c r="V132" s="319">
        <f t="shared" si="50"/>
        <v>51293527.802499995</v>
      </c>
      <c r="X132" s="345">
        <f t="shared" si="43"/>
        <v>39.270632451410215</v>
      </c>
      <c r="Y132" s="346">
        <f t="shared" si="44"/>
        <v>-39.003063430333739</v>
      </c>
      <c r="AA132" s="345">
        <f t="shared" si="45"/>
        <v>38.04697407494703</v>
      </c>
      <c r="AB132" s="346">
        <f t="shared" si="46"/>
        <v>-85.859297744628464</v>
      </c>
      <c r="AD132">
        <f t="shared" si="51"/>
        <v>0</v>
      </c>
      <c r="AE132">
        <f t="shared" si="52"/>
        <v>0</v>
      </c>
    </row>
    <row r="133" spans="1:31" x14ac:dyDescent="0.2">
      <c r="A133" s="347">
        <v>7244.4</v>
      </c>
      <c r="B133" s="364">
        <f t="shared" si="48"/>
        <v>7.2443999999999997</v>
      </c>
      <c r="C133" s="337">
        <f t="shared" si="26"/>
        <v>14.412127239813762</v>
      </c>
      <c r="D133" s="338">
        <f t="shared" si="27"/>
        <v>1.5013545206133303</v>
      </c>
      <c r="E133" s="338">
        <f t="shared" si="28"/>
        <v>1.0000596683612839</v>
      </c>
      <c r="F133" s="339">
        <f t="shared" si="29"/>
        <v>1.0923863282473734E-2</v>
      </c>
      <c r="G133" s="338">
        <f t="shared" si="30"/>
        <v>1</v>
      </c>
      <c r="H133" s="339">
        <f t="shared" si="31"/>
        <v>0</v>
      </c>
      <c r="I133" s="337">
        <f t="shared" si="32"/>
        <v>1370.4711874252473</v>
      </c>
      <c r="J133" s="340">
        <f t="shared" si="33"/>
        <v>1.5700666506821017</v>
      </c>
      <c r="K133" s="348">
        <f t="shared" si="34"/>
        <v>1.6339166337737445</v>
      </c>
      <c r="L133" s="349">
        <f t="shared" si="35"/>
        <v>0.91217601039319751</v>
      </c>
      <c r="M133" s="337">
        <f t="shared" si="36"/>
        <v>1.0001531565065938</v>
      </c>
      <c r="N133" s="340">
        <f t="shared" si="37"/>
        <v>1.7500683513421478E-2</v>
      </c>
      <c r="O133" s="341">
        <f t="shared" si="38"/>
        <v>0.99998685847546021</v>
      </c>
      <c r="P133" s="342">
        <f t="shared" si="39"/>
        <v>8.8702403302610318E-3</v>
      </c>
      <c r="Q133" s="343">
        <f t="shared" si="40"/>
        <v>20.38309668183873</v>
      </c>
      <c r="R133" s="344">
        <f t="shared" si="41"/>
        <v>-124.60068617216169</v>
      </c>
      <c r="S133" s="346">
        <f t="shared" si="42"/>
        <v>55.399313827838313</v>
      </c>
      <c r="U133" s="319">
        <f t="shared" si="49"/>
        <v>1000000000</v>
      </c>
      <c r="V133" s="319">
        <f t="shared" si="50"/>
        <v>52481331.359999992</v>
      </c>
      <c r="X133" s="345">
        <f t="shared" si="43"/>
        <v>39.233093894297191</v>
      </c>
      <c r="Y133" s="346">
        <f t="shared" si="44"/>
        <v>-38.697072417844694</v>
      </c>
      <c r="AA133" s="345">
        <f t="shared" si="45"/>
        <v>37.9480498004583</v>
      </c>
      <c r="AB133" s="346">
        <f t="shared" si="46"/>
        <v>-85.903613754316979</v>
      </c>
      <c r="AD133">
        <f t="shared" si="51"/>
        <v>0</v>
      </c>
      <c r="AE133">
        <f t="shared" si="52"/>
        <v>0</v>
      </c>
    </row>
    <row r="134" spans="1:31" x14ac:dyDescent="0.2">
      <c r="A134" s="347">
        <v>7328.75</v>
      </c>
      <c r="B134" s="364">
        <f t="shared" si="48"/>
        <v>7.3287500000000003</v>
      </c>
      <c r="C134" s="337">
        <f t="shared" si="26"/>
        <v>14.579131235071454</v>
      </c>
      <c r="D134" s="338">
        <f t="shared" si="27"/>
        <v>1.5021512358141511</v>
      </c>
      <c r="E134" s="338">
        <f t="shared" si="28"/>
        <v>1.0000610659021918</v>
      </c>
      <c r="F134" s="339">
        <f t="shared" si="29"/>
        <v>1.1051044730407982E-2</v>
      </c>
      <c r="G134" s="338">
        <f t="shared" si="30"/>
        <v>1</v>
      </c>
      <c r="H134" s="339">
        <f t="shared" si="31"/>
        <v>0</v>
      </c>
      <c r="I134" s="337">
        <f t="shared" si="32"/>
        <v>1386.4282278240848</v>
      </c>
      <c r="J134" s="340">
        <f t="shared" si="33"/>
        <v>1.5700750488616881</v>
      </c>
      <c r="K134" s="348">
        <f t="shared" si="34"/>
        <v>1.6458407481355499</v>
      </c>
      <c r="L134" s="349">
        <f t="shared" si="35"/>
        <v>0.91777080712483317</v>
      </c>
      <c r="M134" s="337">
        <f t="shared" si="36"/>
        <v>1.0001567435373255</v>
      </c>
      <c r="N134" s="340">
        <f t="shared" si="37"/>
        <v>1.7704409975101035E-2</v>
      </c>
      <c r="O134" s="341">
        <f t="shared" si="38"/>
        <v>0.99998655069873887</v>
      </c>
      <c r="P134" s="342">
        <f t="shared" si="39"/>
        <v>8.973526281955491E-3</v>
      </c>
      <c r="Q134" s="343">
        <f t="shared" si="40"/>
        <v>20.245617865569542</v>
      </c>
      <c r="R134" s="344">
        <f t="shared" si="41"/>
        <v>-124.33656108597586</v>
      </c>
      <c r="S134" s="346">
        <f t="shared" si="42"/>
        <v>55.663438914024141</v>
      </c>
      <c r="U134" s="319">
        <f t="shared" si="49"/>
        <v>1000000000</v>
      </c>
      <c r="V134" s="319">
        <f t="shared" si="50"/>
        <v>53710576.5625</v>
      </c>
      <c r="X134" s="345">
        <f t="shared" si="43"/>
        <v>39.195671418557573</v>
      </c>
      <c r="Y134" s="346">
        <f t="shared" si="44"/>
        <v>-38.388668024211249</v>
      </c>
      <c r="AA134" s="345">
        <f t="shared" si="45"/>
        <v>37.847993459928723</v>
      </c>
      <c r="AB134" s="346">
        <f t="shared" si="46"/>
        <v>-85.947893061764617</v>
      </c>
      <c r="AD134">
        <f t="shared" si="51"/>
        <v>0</v>
      </c>
      <c r="AE134">
        <f t="shared" si="52"/>
        <v>0</v>
      </c>
    </row>
    <row r="135" spans="1:31" x14ac:dyDescent="0.2">
      <c r="A135" s="347">
        <v>7413.1</v>
      </c>
      <c r="B135" s="364">
        <f t="shared" si="48"/>
        <v>7.4131</v>
      </c>
      <c r="C135" s="337">
        <f t="shared" si="26"/>
        <v>14.746144274891789</v>
      </c>
      <c r="D135" s="338">
        <f t="shared" si="27"/>
        <v>1.5029299045006679</v>
      </c>
      <c r="E135" s="338">
        <f t="shared" si="28"/>
        <v>1.0000624796191628</v>
      </c>
      <c r="F135" s="339">
        <f t="shared" si="29"/>
        <v>1.1178225820824721E-2</v>
      </c>
      <c r="G135" s="338">
        <f t="shared" si="30"/>
        <v>1</v>
      </c>
      <c r="H135" s="339">
        <f t="shared" si="31"/>
        <v>0</v>
      </c>
      <c r="I135" s="337">
        <f t="shared" si="32"/>
        <v>1402.3852683184812</v>
      </c>
      <c r="J135" s="340">
        <f t="shared" si="33"/>
        <v>1.5700832559239055</v>
      </c>
      <c r="K135" s="348">
        <f t="shared" si="34"/>
        <v>1.6578156381618336</v>
      </c>
      <c r="L135" s="349">
        <f t="shared" si="35"/>
        <v>0.92328494866558075</v>
      </c>
      <c r="M135" s="337">
        <f t="shared" si="36"/>
        <v>1.0001603720787355</v>
      </c>
      <c r="N135" s="340">
        <f t="shared" si="37"/>
        <v>1.7908134967013302E-2</v>
      </c>
      <c r="O135" s="341">
        <f t="shared" si="38"/>
        <v>0.99998623936060926</v>
      </c>
      <c r="P135" s="342">
        <f t="shared" si="39"/>
        <v>9.0768124252886308E-3</v>
      </c>
      <c r="Q135" s="343">
        <f t="shared" si="40"/>
        <v>20.110234121622241</v>
      </c>
      <c r="R135" s="344">
        <f t="shared" si="41"/>
        <v>-124.07601220975756</v>
      </c>
      <c r="S135" s="346">
        <f t="shared" si="42"/>
        <v>55.923987790242435</v>
      </c>
      <c r="U135" s="319">
        <f t="shared" si="49"/>
        <v>1000000000</v>
      </c>
      <c r="V135" s="319">
        <f t="shared" si="50"/>
        <v>54954051.610000007</v>
      </c>
      <c r="X135" s="345">
        <f t="shared" si="43"/>
        <v>39.159209359205953</v>
      </c>
      <c r="Y135" s="346">
        <f t="shared" si="44"/>
        <v>-38.084873798186678</v>
      </c>
      <c r="AA135" s="345">
        <f t="shared" si="45"/>
        <v>37.74907177533305</v>
      </c>
      <c r="AB135" s="346">
        <f t="shared" si="46"/>
        <v>-85.991138411570873</v>
      </c>
      <c r="AD135">
        <f t="shared" si="51"/>
        <v>0</v>
      </c>
      <c r="AE135">
        <f t="shared" si="52"/>
        <v>0</v>
      </c>
    </row>
    <row r="136" spans="1:31" x14ac:dyDescent="0.2">
      <c r="A136" s="347">
        <v>7499.45</v>
      </c>
      <c r="B136" s="364">
        <f t="shared" si="48"/>
        <v>7.4994499999999995</v>
      </c>
      <c r="C136" s="337">
        <f t="shared" si="26"/>
        <v>14.917126367273495</v>
      </c>
      <c r="D136" s="338">
        <f t="shared" si="27"/>
        <v>1.5037089744302226</v>
      </c>
      <c r="E136" s="338">
        <f t="shared" si="28"/>
        <v>1.000063943612252</v>
      </c>
      <c r="F136" s="339">
        <f t="shared" si="29"/>
        <v>1.1308422092996191E-2</v>
      </c>
      <c r="G136" s="338">
        <f t="shared" si="30"/>
        <v>1</v>
      </c>
      <c r="H136" s="339">
        <f t="shared" si="31"/>
        <v>0</v>
      </c>
      <c r="I136" s="337">
        <f t="shared" si="32"/>
        <v>1418.7206619729736</v>
      </c>
      <c r="J136" s="340">
        <f t="shared" si="33"/>
        <v>1.570091466345896</v>
      </c>
      <c r="K136" s="348">
        <f t="shared" si="34"/>
        <v>1.6701259170766432</v>
      </c>
      <c r="L136" s="349">
        <f t="shared" si="35"/>
        <v>0.92884775318337387</v>
      </c>
      <c r="M136" s="337">
        <f t="shared" si="36"/>
        <v>1.0001641296537551</v>
      </c>
      <c r="N136" s="340">
        <f t="shared" si="37"/>
        <v>1.811668888692778E-2</v>
      </c>
      <c r="O136" s="341">
        <f t="shared" si="38"/>
        <v>0.99998591695140338</v>
      </c>
      <c r="P136" s="342">
        <f t="shared" si="39"/>
        <v>9.1825477591977178E-3</v>
      </c>
      <c r="Q136" s="343">
        <f t="shared" si="40"/>
        <v>19.97375181613052</v>
      </c>
      <c r="R136" s="344">
        <f t="shared" si="41"/>
        <v>-123.81294258065483</v>
      </c>
      <c r="S136" s="346">
        <f t="shared" si="42"/>
        <v>56.187057419345166</v>
      </c>
      <c r="U136" s="319">
        <f t="shared" si="49"/>
        <v>1000000000</v>
      </c>
      <c r="V136" s="319">
        <f t="shared" si="50"/>
        <v>56241750.302499995</v>
      </c>
      <c r="X136" s="345">
        <f t="shared" si="43"/>
        <v>39.122845339852802</v>
      </c>
      <c r="Y136" s="346">
        <f t="shared" si="44"/>
        <v>-37.7785682586509</v>
      </c>
      <c r="AA136" s="345">
        <f t="shared" si="45"/>
        <v>37.648953489194476</v>
      </c>
      <c r="AB136" s="346">
        <f t="shared" si="46"/>
        <v>-86.034374322003941</v>
      </c>
      <c r="AD136">
        <f t="shared" si="51"/>
        <v>0</v>
      </c>
      <c r="AE136">
        <f t="shared" si="52"/>
        <v>0</v>
      </c>
    </row>
    <row r="137" spans="1:31" x14ac:dyDescent="0.2">
      <c r="A137" s="347">
        <v>7585.8</v>
      </c>
      <c r="B137" s="364">
        <f t="shared" si="48"/>
        <v>7.5857999999999999</v>
      </c>
      <c r="C137" s="337">
        <f t="shared" si="26"/>
        <v>15.088117308398258</v>
      </c>
      <c r="D137" s="338">
        <f t="shared" si="27"/>
        <v>1.5044703866922393</v>
      </c>
      <c r="E137" s="338">
        <f t="shared" si="28"/>
        <v>1.0000654245574447</v>
      </c>
      <c r="F137" s="339">
        <f t="shared" si="29"/>
        <v>1.1438617981772758E-2</v>
      </c>
      <c r="G137" s="338">
        <f t="shared" si="30"/>
        <v>1</v>
      </c>
      <c r="H137" s="339">
        <f t="shared" si="31"/>
        <v>0</v>
      </c>
      <c r="I137" s="337">
        <f t="shared" si="32"/>
        <v>1435.0560557209269</v>
      </c>
      <c r="J137" s="340">
        <f t="shared" si="33"/>
        <v>1.5700994898476961</v>
      </c>
      <c r="K137" s="348">
        <f t="shared" si="34"/>
        <v>1.6824871204885821</v>
      </c>
      <c r="L137" s="349">
        <f t="shared" si="35"/>
        <v>0.93432898559499422</v>
      </c>
      <c r="M137" s="337">
        <f t="shared" si="36"/>
        <v>1.0001679307303235</v>
      </c>
      <c r="N137" s="340">
        <f t="shared" si="37"/>
        <v>1.8325241230720494E-2</v>
      </c>
      <c r="O137" s="341">
        <f t="shared" si="38"/>
        <v>0.99998559081000626</v>
      </c>
      <c r="P137" s="342">
        <f t="shared" si="39"/>
        <v>9.2882832986186381E-3</v>
      </c>
      <c r="Q137" s="343">
        <f t="shared" si="40"/>
        <v>19.839348056284319</v>
      </c>
      <c r="R137" s="344">
        <f t="shared" si="41"/>
        <v>-123.55352421283877</v>
      </c>
      <c r="S137" s="346">
        <f t="shared" si="42"/>
        <v>56.446475787161233</v>
      </c>
      <c r="U137" s="319">
        <f t="shared" si="49"/>
        <v>1000000000</v>
      </c>
      <c r="V137" s="319">
        <f t="shared" si="50"/>
        <v>57544361.640000001</v>
      </c>
      <c r="X137" s="345">
        <f t="shared" si="43"/>
        <v>39.087423549023036</v>
      </c>
      <c r="Y137" s="346">
        <f t="shared" si="44"/>
        <v>-37.476925656487005</v>
      </c>
      <c r="AA137" s="345">
        <f t="shared" si="45"/>
        <v>37.54997152017804</v>
      </c>
      <c r="AB137" s="346">
        <f t="shared" si="46"/>
        <v>-86.076598556351769</v>
      </c>
      <c r="AD137">
        <f t="shared" si="51"/>
        <v>0</v>
      </c>
      <c r="AE137">
        <f t="shared" si="52"/>
        <v>0</v>
      </c>
    </row>
    <row r="138" spans="1:31" x14ac:dyDescent="0.2">
      <c r="A138" s="347">
        <v>7674.15</v>
      </c>
      <c r="B138" s="364">
        <f t="shared" si="48"/>
        <v>7.67415</v>
      </c>
      <c r="C138" s="337">
        <f t="shared" si="26"/>
        <v>15.263077513426179</v>
      </c>
      <c r="D138" s="338">
        <f t="shared" si="27"/>
        <v>1.5052317766377605</v>
      </c>
      <c r="E138" s="338">
        <f t="shared" si="28"/>
        <v>1.0000669573491534</v>
      </c>
      <c r="F138" s="339">
        <f t="shared" si="29"/>
        <v>1.1571829007954807E-2</v>
      </c>
      <c r="G138" s="338">
        <f t="shared" si="30"/>
        <v>1</v>
      </c>
      <c r="H138" s="339">
        <f t="shared" si="31"/>
        <v>0</v>
      </c>
      <c r="I138" s="337">
        <f t="shared" si="32"/>
        <v>1451.7698026311796</v>
      </c>
      <c r="J138" s="340">
        <f t="shared" si="33"/>
        <v>1.5701075123029122</v>
      </c>
      <c r="K138" s="348">
        <f t="shared" si="34"/>
        <v>1.695186173998724</v>
      </c>
      <c r="L138" s="349">
        <f t="shared" si="35"/>
        <v>0.93985426542643924</v>
      </c>
      <c r="M138" s="337">
        <f t="shared" si="36"/>
        <v>1.0001718648697679</v>
      </c>
      <c r="N138" s="340">
        <f t="shared" si="37"/>
        <v>1.8538622320226471E-2</v>
      </c>
      <c r="O138" s="341">
        <f t="shared" si="38"/>
        <v>0.99998525325186782</v>
      </c>
      <c r="P138" s="342">
        <f t="shared" si="39"/>
        <v>9.3964680523903558E-3</v>
      </c>
      <c r="Q138" s="343">
        <f t="shared" si="40"/>
        <v>19.703924184364556</v>
      </c>
      <c r="R138" s="344">
        <f t="shared" si="41"/>
        <v>-123.29182501690698</v>
      </c>
      <c r="S138" s="346">
        <f t="shared" si="42"/>
        <v>56.708174983093016</v>
      </c>
      <c r="U138" s="319">
        <f t="shared" si="49"/>
        <v>1000000000</v>
      </c>
      <c r="V138" s="319">
        <f t="shared" si="50"/>
        <v>58892578.222499996</v>
      </c>
      <c r="X138" s="345">
        <f t="shared" si="43"/>
        <v>39.052124588121721</v>
      </c>
      <c r="Y138" s="346">
        <f t="shared" si="44"/>
        <v>-37.173035929851018</v>
      </c>
      <c r="AA138" s="345">
        <f t="shared" si="45"/>
        <v>37.449846609159593</v>
      </c>
      <c r="AB138" s="346">
        <f t="shared" si="46"/>
        <v>-86.118789087055987</v>
      </c>
      <c r="AD138">
        <f t="shared" si="51"/>
        <v>0</v>
      </c>
      <c r="AE138">
        <f t="shared" si="52"/>
        <v>0</v>
      </c>
    </row>
    <row r="139" spans="1:31" x14ac:dyDescent="0.2">
      <c r="A139" s="347">
        <v>7762.5</v>
      </c>
      <c r="B139" s="364">
        <f t="shared" si="48"/>
        <v>7.7625000000000002</v>
      </c>
      <c r="C139" s="337">
        <f t="shared" si="26"/>
        <v>15.438046366125857</v>
      </c>
      <c r="D139" s="338">
        <f t="shared" si="27"/>
        <v>1.5059759084076274</v>
      </c>
      <c r="E139" s="338">
        <f t="shared" si="28"/>
        <v>1.0000685078871734</v>
      </c>
      <c r="F139" s="339">
        <f t="shared" si="29"/>
        <v>1.1705039623431475E-2</v>
      </c>
      <c r="G139" s="338">
        <f t="shared" si="30"/>
        <v>1</v>
      </c>
      <c r="H139" s="339">
        <f t="shared" si="31"/>
        <v>0</v>
      </c>
      <c r="I139" s="337">
        <f t="shared" si="32"/>
        <v>1468.4835496327412</v>
      </c>
      <c r="J139" s="340">
        <f t="shared" si="33"/>
        <v>1.5701153521407796</v>
      </c>
      <c r="K139" s="348">
        <f t="shared" si="34"/>
        <v>1.7079362088712682</v>
      </c>
      <c r="L139" s="349">
        <f t="shared" si="35"/>
        <v>0.94529721505541708</v>
      </c>
      <c r="M139" s="337">
        <f t="shared" si="36"/>
        <v>1.0001758445481674</v>
      </c>
      <c r="N139" s="340">
        <f t="shared" si="37"/>
        <v>1.8752001721370239E-2</v>
      </c>
      <c r="O139" s="341">
        <f t="shared" si="38"/>
        <v>0.99998491178676585</v>
      </c>
      <c r="P139" s="342">
        <f t="shared" si="39"/>
        <v>9.5046530263156494E-3</v>
      </c>
      <c r="Q139" s="343">
        <f t="shared" si="40"/>
        <v>19.570559775272944</v>
      </c>
      <c r="R139" s="344">
        <f t="shared" si="41"/>
        <v>-123.03384364968637</v>
      </c>
      <c r="S139" s="346">
        <f t="shared" si="42"/>
        <v>56.966156350313625</v>
      </c>
      <c r="U139" s="319">
        <f t="shared" si="49"/>
        <v>1000000000</v>
      </c>
      <c r="V139" s="319">
        <f t="shared" si="50"/>
        <v>60256406.25</v>
      </c>
      <c r="X139" s="345">
        <f t="shared" si="43"/>
        <v>39.017748369239563</v>
      </c>
      <c r="Y139" s="346">
        <f t="shared" si="44"/>
        <v>-36.873852816408863</v>
      </c>
      <c r="AA139" s="345">
        <f t="shared" si="45"/>
        <v>37.350858418950146</v>
      </c>
      <c r="AB139" s="346">
        <f t="shared" si="46"/>
        <v>-86.159990833277519</v>
      </c>
      <c r="AD139">
        <f t="shared" si="51"/>
        <v>0</v>
      </c>
      <c r="AE139">
        <f t="shared" si="52"/>
        <v>0</v>
      </c>
    </row>
    <row r="140" spans="1:31" x14ac:dyDescent="0.2">
      <c r="A140" s="347">
        <v>7852.9</v>
      </c>
      <c r="B140" s="364">
        <f t="shared" si="48"/>
        <v>7.8529</v>
      </c>
      <c r="C140" s="337">
        <f t="shared" si="26"/>
        <v>15.617083698522725</v>
      </c>
      <c r="D140" s="338">
        <f t="shared" si="27"/>
        <v>1.5067200471144211</v>
      </c>
      <c r="E140" s="338">
        <f t="shared" si="28"/>
        <v>1.0000701127712472</v>
      </c>
      <c r="F140" s="339">
        <f t="shared" si="29"/>
        <v>1.1841340717320297E-2</v>
      </c>
      <c r="G140" s="338">
        <f t="shared" si="30"/>
        <v>1</v>
      </c>
      <c r="H140" s="339">
        <f t="shared" si="31"/>
        <v>0</v>
      </c>
      <c r="I140" s="337">
        <f t="shared" si="32"/>
        <v>1485.5851086254659</v>
      </c>
      <c r="J140" s="340">
        <f t="shared" si="33"/>
        <v>1.5701231912944715</v>
      </c>
      <c r="K140" s="348">
        <f t="shared" si="34"/>
        <v>1.7210336725367981</v>
      </c>
      <c r="L140" s="349">
        <f t="shared" si="35"/>
        <v>0.95078281661176278</v>
      </c>
      <c r="M140" s="337">
        <f t="shared" si="36"/>
        <v>1.0001799637033373</v>
      </c>
      <c r="N140" s="340">
        <f t="shared" si="37"/>
        <v>1.8970330433039081E-2</v>
      </c>
      <c r="O140" s="341">
        <f t="shared" si="38"/>
        <v>0.99998455835465727</v>
      </c>
      <c r="P140" s="342">
        <f t="shared" si="39"/>
        <v>9.6153484650161377E-3</v>
      </c>
      <c r="Q140" s="343">
        <f t="shared" si="40"/>
        <v>19.436174474404385</v>
      </c>
      <c r="R140" s="344">
        <f t="shared" si="41"/>
        <v>-122.77366920756441</v>
      </c>
      <c r="S140" s="346">
        <f t="shared" si="42"/>
        <v>57.22633079243559</v>
      </c>
      <c r="U140" s="319">
        <f t="shared" si="49"/>
        <v>1000000000</v>
      </c>
      <c r="V140" s="319">
        <f t="shared" si="50"/>
        <v>61668038.409999996</v>
      </c>
      <c r="X140" s="345">
        <f t="shared" si="43"/>
        <v>38.983497998158832</v>
      </c>
      <c r="Y140" s="346">
        <f t="shared" si="44"/>
        <v>-36.572509462942179</v>
      </c>
      <c r="AA140" s="345">
        <f t="shared" si="45"/>
        <v>37.250723489162318</v>
      </c>
      <c r="AB140" s="346">
        <f t="shared" si="46"/>
        <v>-86.201159744622203</v>
      </c>
      <c r="AD140">
        <f t="shared" si="51"/>
        <v>0</v>
      </c>
      <c r="AE140">
        <f t="shared" si="52"/>
        <v>0</v>
      </c>
    </row>
    <row r="141" spans="1:31" x14ac:dyDescent="0.2">
      <c r="A141" s="347">
        <v>7943.3</v>
      </c>
      <c r="B141" s="364">
        <f t="shared" si="48"/>
        <v>7.9432999999999998</v>
      </c>
      <c r="C141" s="337">
        <f t="shared" ref="C141:C204" si="53">SQRT(1+(A141/pole1)^2)</f>
        <v>15.796129482724826</v>
      </c>
      <c r="D141" s="338">
        <f t="shared" ref="D141:D204" si="54">ATAN(A141/pole1)</f>
        <v>1.5074473169068945</v>
      </c>
      <c r="E141" s="338">
        <f t="shared" ref="E141:E204" si="55">SQRT(1+(A141/Zero1)^2)</f>
        <v>1.0000717362345524</v>
      </c>
      <c r="F141" s="339">
        <f t="shared" ref="F141:F204" si="56">ATAN(A141/Zero1)</f>
        <v>1.1977641371213401E-2</v>
      </c>
      <c r="G141" s="338">
        <f t="shared" ref="G141:G204" si="57">IF(VIN_nom&gt;Vout, 1, SQRT(1+(A141/z_RHP)^2))</f>
        <v>1</v>
      </c>
      <c r="H141" s="339">
        <f t="shared" ref="H141:H204" si="58">IF(VIN_nom&gt;Vout, 0, -ATAN(A141/z_RHP))</f>
        <v>0</v>
      </c>
      <c r="I141" s="337">
        <f t="shared" ref="I141:I204" si="59">SQRT(1+(A141/Pole2)^2)</f>
        <v>1502.6866677074056</v>
      </c>
      <c r="J141" s="340">
        <f t="shared" ref="J141:J204" si="60">ATAN(A141/Pole2)</f>
        <v>1.5701308520187511</v>
      </c>
      <c r="K141" s="348">
        <f t="shared" ref="K141:K147" si="61">SQRT(1+(A141/Zero2)^2)</f>
        <v>1.7341821420677526</v>
      </c>
      <c r="L141" s="349">
        <f t="shared" ref="L141:L147" si="62">ATAN(A141/Zero2)</f>
        <v>0.95618539566427296</v>
      </c>
      <c r="M141" s="337">
        <f t="shared" ref="M141:M204" si="63">SQRT(1+(A141/pole4)^2)</f>
        <v>1.0001841305341181</v>
      </c>
      <c r="N141" s="340">
        <f t="shared" ref="N141:N204" si="64">ATAN(A141/pole4)</f>
        <v>1.9188657335972303E-2</v>
      </c>
      <c r="O141" s="341">
        <f t="shared" ref="O141:O204" si="65">SQRT((1-(V141/pterm2))^2+(A141/pterm1)^2)</f>
        <v>0.99998420083230144</v>
      </c>
      <c r="P141" s="342">
        <f t="shared" ref="P141:P204" si="66">IF((ATAN((A141/pterm1)/(1-A141^2/pterm2))&gt;0),ATAN((A141/pterm1)/(1-A141^2/pterm2)),PI()+ATAN((A141/pterm1)/(1-A141^2/pterm2)))</f>
        <v>9.7260441395736769E-3</v>
      </c>
      <c r="Q141" s="343">
        <f t="shared" ref="Q141:Q204" si="67">20*LOG10(((E141*K141*G141)/(C141*I141*O141*M141))*Adc)</f>
        <v>19.303829478486165</v>
      </c>
      <c r="R141" s="344">
        <f t="shared" ref="R141:R204" si="68">((F141+L141+H141)-(D141+J141+P141+N141))*radconv</f>
        <v>-122.51727479876394</v>
      </c>
      <c r="S141" s="346">
        <f t="shared" ref="S141:S204" si="69">IF(R141&gt;0,R141,R141+180)</f>
        <v>57.482725201236065</v>
      </c>
      <c r="U141" s="319">
        <f t="shared" si="49"/>
        <v>1000000000</v>
      </c>
      <c r="V141" s="319">
        <f t="shared" si="50"/>
        <v>63096014.890000001</v>
      </c>
      <c r="X141" s="345">
        <f t="shared" ref="X141:X204" si="70">20*LOG10((K141/(I141*M141))*AEA)</f>
        <v>38.950150739982739</v>
      </c>
      <c r="Y141" s="346">
        <f t="shared" ref="Y141:Y204" si="71">(L141-(J141+N141))*radconv</f>
        <v>-36.275912621670116</v>
      </c>
      <c r="AA141" s="345">
        <f t="shared" ref="AA141:AA204" si="72">20*LOG10((E141*G141/(C141*O141))*Acs*Am)</f>
        <v>37.15172575142018</v>
      </c>
      <c r="AB141" s="346">
        <f t="shared" ref="AB141:AB204" si="73">(F141+H141-(D141+P141))*radconv</f>
        <v>-86.241362177093777</v>
      </c>
      <c r="AD141">
        <f t="shared" si="51"/>
        <v>0</v>
      </c>
      <c r="AE141">
        <f t="shared" si="52"/>
        <v>0</v>
      </c>
    </row>
    <row r="142" spans="1:31" x14ac:dyDescent="0.2">
      <c r="A142" s="347">
        <v>8035.8</v>
      </c>
      <c r="B142" s="364">
        <f t="shared" ref="B142:B205" si="74">A142/1000</f>
        <v>8.0358000000000001</v>
      </c>
      <c r="C142" s="337">
        <f t="shared" si="53"/>
        <v>15.979342968572089</v>
      </c>
      <c r="D142" s="338">
        <f t="shared" si="54"/>
        <v>1.5081746106832545</v>
      </c>
      <c r="E142" s="338">
        <f t="shared" si="55"/>
        <v>1.0000734166425989</v>
      </c>
      <c r="F142" s="339">
        <f t="shared" si="56"/>
        <v>1.2117107840631771E-2</v>
      </c>
      <c r="G142" s="338">
        <f t="shared" si="57"/>
        <v>1</v>
      </c>
      <c r="H142" s="339">
        <f t="shared" si="58"/>
        <v>0</v>
      </c>
      <c r="I142" s="337">
        <f t="shared" si="59"/>
        <v>1520.1854976094373</v>
      </c>
      <c r="J142" s="340">
        <f t="shared" si="60"/>
        <v>1.5701385122889087</v>
      </c>
      <c r="K142" s="348">
        <f t="shared" si="61"/>
        <v>1.747687647759762</v>
      </c>
      <c r="L142" s="349">
        <f t="shared" si="62"/>
        <v>0.96162916877035232</v>
      </c>
      <c r="M142" s="337">
        <f t="shared" si="63"/>
        <v>1.0001884435098625</v>
      </c>
      <c r="N142" s="340">
        <f t="shared" si="64"/>
        <v>1.9412054098244539E-2</v>
      </c>
      <c r="O142" s="341">
        <f t="shared" si="65"/>
        <v>0.99998383077086184</v>
      </c>
      <c r="P142" s="342">
        <f t="shared" si="66"/>
        <v>9.8393115314185271E-3</v>
      </c>
      <c r="Q142" s="343">
        <f t="shared" si="67"/>
        <v>19.170464272548855</v>
      </c>
      <c r="R142" s="344">
        <f t="shared" si="68"/>
        <v>-122.25877793492785</v>
      </c>
      <c r="S142" s="346">
        <f t="shared" si="69"/>
        <v>57.741222065072151</v>
      </c>
      <c r="U142" s="319">
        <f t="shared" ref="U142:U205" si="75">IF(Q142&lt;0,A142,1000000000)</f>
        <v>1000000000</v>
      </c>
      <c r="V142" s="319">
        <f t="shared" ref="V142:V205" si="76">A142^2</f>
        <v>64574081.640000001</v>
      </c>
      <c r="X142" s="345">
        <f t="shared" si="70"/>
        <v>38.916932388467458</v>
      </c>
      <c r="Y142" s="346">
        <f t="shared" si="71"/>
        <v>-35.977245990508713</v>
      </c>
      <c r="AA142" s="345">
        <f t="shared" si="72"/>
        <v>37.051578896998166</v>
      </c>
      <c r="AB142" s="346">
        <f t="shared" si="73"/>
        <v>-86.281531944419157</v>
      </c>
      <c r="AD142">
        <f t="shared" ref="AD142:AD205" si="77">SUM((Q143&lt;0)*(Q142&gt;0))*A142</f>
        <v>0</v>
      </c>
      <c r="AE142">
        <f t="shared" si="52"/>
        <v>0</v>
      </c>
    </row>
    <row r="143" spans="1:31" x14ac:dyDescent="0.2">
      <c r="A143" s="347">
        <v>8128.3</v>
      </c>
      <c r="B143" s="364">
        <f t="shared" si="74"/>
        <v>8.1282999999999994</v>
      </c>
      <c r="C143" s="337">
        <f t="shared" si="53"/>
        <v>16.162564715163299</v>
      </c>
      <c r="D143" s="338">
        <f t="shared" si="54"/>
        <v>1.5088854153618694</v>
      </c>
      <c r="E143" s="338">
        <f t="shared" si="55"/>
        <v>1.000075116502904</v>
      </c>
      <c r="F143" s="339">
        <f t="shared" si="56"/>
        <v>1.2256573838651454E-2</v>
      </c>
      <c r="G143" s="338">
        <f t="shared" si="57"/>
        <v>1</v>
      </c>
      <c r="H143" s="339">
        <f t="shared" si="58"/>
        <v>0</v>
      </c>
      <c r="I143" s="337">
        <f t="shared" si="59"/>
        <v>1537.6843275986432</v>
      </c>
      <c r="J143" s="340">
        <f t="shared" si="60"/>
        <v>1.5701459982114938</v>
      </c>
      <c r="K143" s="348">
        <f t="shared" si="61"/>
        <v>1.7612441504025274</v>
      </c>
      <c r="L143" s="349">
        <f t="shared" si="62"/>
        <v>0.9669892959747336</v>
      </c>
      <c r="M143" s="337">
        <f t="shared" si="63"/>
        <v>1.0001928064006926</v>
      </c>
      <c r="N143" s="340">
        <f t="shared" si="64"/>
        <v>1.9635448922729861E-2</v>
      </c>
      <c r="O143" s="341">
        <f t="shared" si="65"/>
        <v>0.99998345642707354</v>
      </c>
      <c r="P143" s="342">
        <f t="shared" si="66"/>
        <v>9.9525791759569014E-3</v>
      </c>
      <c r="Q143" s="343">
        <f t="shared" si="67"/>
        <v>19.039120109140462</v>
      </c>
      <c r="R143" s="344">
        <f t="shared" si="68"/>
        <v>-122.00411881360863</v>
      </c>
      <c r="S143" s="346">
        <f t="shared" si="69"/>
        <v>57.995881186391372</v>
      </c>
      <c r="U143" s="319">
        <f t="shared" si="75"/>
        <v>1000000000</v>
      </c>
      <c r="V143" s="319">
        <f t="shared" si="76"/>
        <v>66069260.890000001</v>
      </c>
      <c r="X143" s="345">
        <f t="shared" si="70"/>
        <v>38.884597381668627</v>
      </c>
      <c r="Y143" s="346">
        <f t="shared" si="71"/>
        <v>-35.683361816086567</v>
      </c>
      <c r="AA143" s="345">
        <f t="shared" si="72"/>
        <v>36.952569740388597</v>
      </c>
      <c r="AB143" s="346">
        <f t="shared" si="73"/>
        <v>-86.320756997522082</v>
      </c>
      <c r="AD143">
        <f t="shared" si="77"/>
        <v>0</v>
      </c>
      <c r="AE143">
        <f t="shared" si="52"/>
        <v>0</v>
      </c>
    </row>
    <row r="144" spans="1:31" x14ac:dyDescent="0.2">
      <c r="A144" s="347">
        <v>8222.9500000000007</v>
      </c>
      <c r="B144" s="364">
        <f t="shared" si="74"/>
        <v>8.2229500000000009</v>
      </c>
      <c r="C144" s="337">
        <f t="shared" si="53"/>
        <v>16.350053390663941</v>
      </c>
      <c r="D144" s="338">
        <f t="shared" si="54"/>
        <v>1.5095962505303631</v>
      </c>
      <c r="E144" s="338">
        <f t="shared" si="55"/>
        <v>1.0000768760090855</v>
      </c>
      <c r="F144" s="339">
        <f t="shared" si="56"/>
        <v>1.2399280985168945E-2</v>
      </c>
      <c r="G144" s="338">
        <f t="shared" si="57"/>
        <v>1</v>
      </c>
      <c r="H144" s="339">
        <f t="shared" si="58"/>
        <v>0</v>
      </c>
      <c r="I144" s="337">
        <f t="shared" si="59"/>
        <v>1555.5898872369282</v>
      </c>
      <c r="J144" s="340">
        <f t="shared" si="60"/>
        <v>1.5701534837955438</v>
      </c>
      <c r="K144" s="348">
        <f t="shared" si="61"/>
        <v>1.775167320063054</v>
      </c>
      <c r="L144" s="349">
        <f t="shared" si="62"/>
        <v>0.97238910667801803</v>
      </c>
      <c r="M144" s="337">
        <f t="shared" si="63"/>
        <v>1.0001973223674263</v>
      </c>
      <c r="N144" s="340">
        <f t="shared" si="64"/>
        <v>1.9864034138356169E-2</v>
      </c>
      <c r="O144" s="341">
        <f t="shared" si="65"/>
        <v>0.99998306894958799</v>
      </c>
      <c r="P144" s="342">
        <f t="shared" si="66"/>
        <v>1.006847979251492E-2</v>
      </c>
      <c r="Q144" s="343">
        <f t="shared" si="67"/>
        <v>18.906757716655211</v>
      </c>
      <c r="R144" s="344">
        <f t="shared" si="68"/>
        <v>-121.74745026438943</v>
      </c>
      <c r="S144" s="346">
        <f t="shared" si="69"/>
        <v>58.252549735610572</v>
      </c>
      <c r="U144" s="319">
        <f t="shared" si="75"/>
        <v>1000000000</v>
      </c>
      <c r="V144" s="319">
        <f t="shared" si="76"/>
        <v>67616906.702500015</v>
      </c>
      <c r="X144" s="345">
        <f t="shared" si="70"/>
        <v>38.85239430906158</v>
      </c>
      <c r="Y144" s="346">
        <f t="shared" si="71"/>
        <v>-35.387501312768457</v>
      </c>
      <c r="AA144" s="345">
        <f t="shared" si="72"/>
        <v>36.852410420510395</v>
      </c>
      <c r="AB144" s="346">
        <f t="shared" si="73"/>
        <v>-86.359948951620964</v>
      </c>
      <c r="AD144">
        <f t="shared" si="77"/>
        <v>0</v>
      </c>
      <c r="AE144">
        <f t="shared" si="52"/>
        <v>0</v>
      </c>
    </row>
    <row r="145" spans="1:31" x14ac:dyDescent="0.2">
      <c r="A145" s="347">
        <v>8270.2750000000015</v>
      </c>
      <c r="B145" s="364">
        <f t="shared" si="74"/>
        <v>8.2702750000000016</v>
      </c>
      <c r="C145" s="337">
        <f t="shared" si="53"/>
        <v>16.443800773477722</v>
      </c>
      <c r="D145" s="338">
        <f t="shared" si="54"/>
        <v>1.5099455894343368</v>
      </c>
      <c r="E145" s="338">
        <f t="shared" si="55"/>
        <v>1.0000777633997417</v>
      </c>
      <c r="F145" s="339">
        <f t="shared" si="56"/>
        <v>1.2470634369395188E-2</v>
      </c>
      <c r="G145" s="338">
        <f t="shared" si="57"/>
        <v>1</v>
      </c>
      <c r="H145" s="339">
        <f t="shared" si="58"/>
        <v>0</v>
      </c>
      <c r="I145" s="337">
        <f t="shared" si="59"/>
        <v>1564.5426670881966</v>
      </c>
      <c r="J145" s="340">
        <f t="shared" si="60"/>
        <v>1.5701571623354513</v>
      </c>
      <c r="K145" s="348">
        <f t="shared" si="61"/>
        <v>1.782148087370468</v>
      </c>
      <c r="L145" s="349">
        <f t="shared" si="62"/>
        <v>0.97505733333925559</v>
      </c>
      <c r="M145" s="337">
        <f t="shared" si="63"/>
        <v>1.0001995999487268</v>
      </c>
      <c r="N145" s="340">
        <f t="shared" si="64"/>
        <v>1.9978325969125462E-2</v>
      </c>
      <c r="O145" s="341">
        <f t="shared" si="65"/>
        <v>0.99998287352949777</v>
      </c>
      <c r="P145" s="342">
        <f t="shared" si="66"/>
        <v>1.0126430202126096E-2</v>
      </c>
      <c r="Q145" s="343">
        <f t="shared" si="67"/>
        <v>18.841330606852765</v>
      </c>
      <c r="R145" s="344">
        <f t="shared" si="68"/>
        <v>-121.62057905305764</v>
      </c>
      <c r="S145" s="346">
        <f t="shared" si="69"/>
        <v>58.379420946942361</v>
      </c>
      <c r="U145" s="319">
        <f t="shared" si="75"/>
        <v>1000000000</v>
      </c>
      <c r="V145" s="319">
        <f t="shared" si="76"/>
        <v>68397448.575625017</v>
      </c>
      <c r="X145" s="345">
        <f t="shared" si="70"/>
        <v>38.836618419171934</v>
      </c>
      <c r="Y145" s="346">
        <f t="shared" si="71"/>
        <v>-35.241382390475678</v>
      </c>
      <c r="AA145" s="345">
        <f t="shared" si="72"/>
        <v>36.802759200597592</v>
      </c>
      <c r="AB145" s="346">
        <f t="shared" si="73"/>
        <v>-86.37919666258199</v>
      </c>
      <c r="AD145">
        <f t="shared" si="77"/>
        <v>0</v>
      </c>
      <c r="AE145">
        <f t="shared" si="52"/>
        <v>0</v>
      </c>
    </row>
    <row r="146" spans="1:31" x14ac:dyDescent="0.2">
      <c r="A146" s="347">
        <v>8317.6</v>
      </c>
      <c r="B146" s="364">
        <f t="shared" si="74"/>
        <v>8.3176000000000005</v>
      </c>
      <c r="C146" s="337">
        <f t="shared" si="53"/>
        <v>16.537550140302777</v>
      </c>
      <c r="D146" s="338">
        <f t="shared" si="54"/>
        <v>1.5102909676602729</v>
      </c>
      <c r="E146" s="338">
        <f t="shared" si="55"/>
        <v>1.0000786558820904</v>
      </c>
      <c r="F146" s="339">
        <f t="shared" si="56"/>
        <v>1.2541987626631453E-2</v>
      </c>
      <c r="G146" s="338">
        <f t="shared" si="57"/>
        <v>1</v>
      </c>
      <c r="H146" s="339">
        <f t="shared" si="58"/>
        <v>0</v>
      </c>
      <c r="I146" s="337">
        <f t="shared" si="59"/>
        <v>1573.4954469603952</v>
      </c>
      <c r="J146" s="340">
        <f t="shared" si="60"/>
        <v>1.5701607990154882</v>
      </c>
      <c r="K146" s="348">
        <f t="shared" si="61"/>
        <v>1.7891414435005584</v>
      </c>
      <c r="L146" s="349">
        <f t="shared" si="62"/>
        <v>0.9777047197162827</v>
      </c>
      <c r="M146" s="337">
        <f t="shared" si="63"/>
        <v>1.0002018905951975</v>
      </c>
      <c r="N146" s="340">
        <f t="shared" si="64"/>
        <v>2.0092617277889024E-2</v>
      </c>
      <c r="O146" s="341">
        <f t="shared" si="65"/>
        <v>0.9999826769885225</v>
      </c>
      <c r="P146" s="342">
        <f t="shared" si="66"/>
        <v>1.0184380679811408E-2</v>
      </c>
      <c r="Q146" s="343">
        <f t="shared" si="67"/>
        <v>18.776396977727597</v>
      </c>
      <c r="R146" s="344">
        <f t="shared" si="68"/>
        <v>-121.49467255479429</v>
      </c>
      <c r="S146" s="346">
        <f t="shared" si="69"/>
        <v>58.505327445205708</v>
      </c>
      <c r="U146" s="319">
        <f t="shared" si="75"/>
        <v>1000000000</v>
      </c>
      <c r="V146" s="319">
        <f t="shared" si="76"/>
        <v>69182469.760000005</v>
      </c>
      <c r="X146" s="345">
        <f t="shared" si="70"/>
        <v>38.821054682207794</v>
      </c>
      <c r="Y146" s="346">
        <f t="shared" si="71"/>
        <v>-35.096455100210719</v>
      </c>
      <c r="AA146" s="345">
        <f t="shared" si="72"/>
        <v>36.75338930843656</v>
      </c>
      <c r="AB146" s="346">
        <f t="shared" si="73"/>
        <v>-86.398217454583573</v>
      </c>
      <c r="AD146">
        <f t="shared" si="77"/>
        <v>0</v>
      </c>
      <c r="AE146">
        <f t="shared" si="52"/>
        <v>0</v>
      </c>
    </row>
    <row r="147" spans="1:31" x14ac:dyDescent="0.2">
      <c r="A147" s="347">
        <v>8366.0499999999993</v>
      </c>
      <c r="B147" s="364">
        <f t="shared" si="74"/>
        <v>8.3660499999999995</v>
      </c>
      <c r="C147" s="337">
        <f t="shared" si="53"/>
        <v>16.633530117753789</v>
      </c>
      <c r="D147" s="338">
        <f t="shared" si="54"/>
        <v>1.5106405229598812</v>
      </c>
      <c r="E147" s="338">
        <f t="shared" si="55"/>
        <v>1.0000795748550173</v>
      </c>
      <c r="F147" s="339">
        <f t="shared" si="56"/>
        <v>1.2615036946259921E-2</v>
      </c>
      <c r="G147" s="338">
        <f t="shared" si="57"/>
        <v>1</v>
      </c>
      <c r="H147" s="339">
        <f t="shared" si="58"/>
        <v>0</v>
      </c>
      <c r="I147" s="337">
        <f t="shared" si="59"/>
        <v>1582.6610504641785</v>
      </c>
      <c r="J147" s="340">
        <f t="shared" si="60"/>
        <v>1.5701644795233376</v>
      </c>
      <c r="K147" s="348">
        <f t="shared" si="61"/>
        <v>1.7963139319733386</v>
      </c>
      <c r="L147" s="349">
        <f t="shared" si="62"/>
        <v>0.98039366555792873</v>
      </c>
      <c r="M147" s="337">
        <f t="shared" si="63"/>
        <v>1.0002042492290788</v>
      </c>
      <c r="N147" s="340">
        <f t="shared" si="64"/>
        <v>2.0209624951855045E-2</v>
      </c>
      <c r="O147" s="341">
        <f t="shared" si="65"/>
        <v>0.99998247461425649</v>
      </c>
      <c r="P147" s="342">
        <f t="shared" si="66"/>
        <v>1.024370881505696E-2</v>
      </c>
      <c r="Q147" s="343">
        <f t="shared" si="67"/>
        <v>18.710423907289332</v>
      </c>
      <c r="R147" s="344">
        <f t="shared" si="68"/>
        <v>-121.36676410745662</v>
      </c>
      <c r="S147" s="346">
        <f t="shared" si="69"/>
        <v>58.633235892543382</v>
      </c>
      <c r="U147" s="319">
        <f t="shared" si="75"/>
        <v>1000000000</v>
      </c>
      <c r="V147" s="319">
        <f t="shared" si="76"/>
        <v>69990792.602499992</v>
      </c>
      <c r="X147" s="345">
        <f t="shared" si="70"/>
        <v>38.805336971570618</v>
      </c>
      <c r="Y147" s="346">
        <f t="shared" si="71"/>
        <v>-34.949304775432132</v>
      </c>
      <c r="AA147" s="345">
        <f t="shared" si="72"/>
        <v>36.703133948635475</v>
      </c>
      <c r="AB147" s="346">
        <f t="shared" si="73"/>
        <v>-86.417459332024492</v>
      </c>
      <c r="AD147">
        <f t="shared" si="77"/>
        <v>0</v>
      </c>
      <c r="AE147">
        <f t="shared" si="52"/>
        <v>0</v>
      </c>
    </row>
    <row r="148" spans="1:31" x14ac:dyDescent="0.2">
      <c r="A148" s="350">
        <v>8414.5</v>
      </c>
      <c r="B148" s="364">
        <f t="shared" si="74"/>
        <v>8.4145000000000003</v>
      </c>
      <c r="C148" s="337">
        <f t="shared" si="53"/>
        <v>16.729512104316733</v>
      </c>
      <c r="D148" s="338">
        <f t="shared" si="54"/>
        <v>1.5109860673042321</v>
      </c>
      <c r="E148" s="338">
        <f t="shared" si="55"/>
        <v>1.0000804991645624</v>
      </c>
      <c r="F148" s="339">
        <f t="shared" si="56"/>
        <v>1.2688086131248701E-2</v>
      </c>
      <c r="G148" s="338">
        <f t="shared" si="57"/>
        <v>1</v>
      </c>
      <c r="H148" s="339">
        <f t="shared" si="58"/>
        <v>0</v>
      </c>
      <c r="I148" s="337">
        <f t="shared" si="59"/>
        <v>1591.8266539891547</v>
      </c>
      <c r="J148" s="340">
        <f t="shared" si="60"/>
        <v>1.5701681176470799</v>
      </c>
      <c r="K148" s="348">
        <f t="shared" ref="K148:K157" si="78">SQRT(1+(A148/Zero2)^2)</f>
        <v>1.803499305206153</v>
      </c>
      <c r="L148" s="349">
        <f t="shared" ref="L148:L157" si="79">ATAN(A148/Zero2)</f>
        <v>0.98306120434698641</v>
      </c>
      <c r="M148" s="337">
        <f t="shared" si="63"/>
        <v>1.0002066215564875</v>
      </c>
      <c r="N148" s="340">
        <f t="shared" si="64"/>
        <v>2.0326632072376647E-2</v>
      </c>
      <c r="O148" s="341">
        <f t="shared" si="65"/>
        <v>0.99998227106520188</v>
      </c>
      <c r="P148" s="342">
        <f t="shared" si="66"/>
        <v>1.0303037022477838E-2</v>
      </c>
      <c r="Q148" s="343">
        <f t="shared" si="67"/>
        <v>18.644953833137489</v>
      </c>
      <c r="R148" s="344">
        <f t="shared" si="68"/>
        <v>-121.23984993478626</v>
      </c>
      <c r="S148" s="346">
        <f t="shared" si="69"/>
        <v>58.760150065213736</v>
      </c>
      <c r="U148" s="319">
        <f t="shared" si="75"/>
        <v>1000000000</v>
      </c>
      <c r="V148" s="319">
        <f t="shared" si="76"/>
        <v>70803810.25</v>
      </c>
      <c r="X148" s="345">
        <f t="shared" si="70"/>
        <v>38.789834033354992</v>
      </c>
      <c r="Y148" s="346">
        <f t="shared" si="71"/>
        <v>-34.803378524279594</v>
      </c>
      <c r="AA148" s="345">
        <f t="shared" si="72"/>
        <v>36.653166812699254</v>
      </c>
      <c r="AB148" s="346">
        <f t="shared" si="73"/>
        <v>-86.436471410506712</v>
      </c>
      <c r="AD148">
        <f t="shared" si="77"/>
        <v>0</v>
      </c>
      <c r="AE148">
        <f t="shared" si="52"/>
        <v>0</v>
      </c>
    </row>
    <row r="149" spans="1:31" x14ac:dyDescent="0.2">
      <c r="A149" s="350">
        <v>8462.9500000000007</v>
      </c>
      <c r="B149" s="364">
        <f t="shared" si="74"/>
        <v>8.4629500000000011</v>
      </c>
      <c r="C149" s="337">
        <f t="shared" si="53"/>
        <v>16.825496065608323</v>
      </c>
      <c r="D149" s="338">
        <f t="shared" si="54"/>
        <v>1.511327669253665</v>
      </c>
      <c r="E149" s="338">
        <f t="shared" si="55"/>
        <v>1.0000814288107103</v>
      </c>
      <c r="F149" s="339">
        <f t="shared" si="56"/>
        <v>1.2761135180818553E-2</v>
      </c>
      <c r="G149" s="338">
        <f t="shared" si="57"/>
        <v>1</v>
      </c>
      <c r="H149" s="339">
        <f t="shared" si="58"/>
        <v>0</v>
      </c>
      <c r="I149" s="337">
        <f t="shared" si="59"/>
        <v>1600.9922575349588</v>
      </c>
      <c r="J149" s="340">
        <f t="shared" si="60"/>
        <v>1.5701717141146558</v>
      </c>
      <c r="K149" s="348">
        <f t="shared" si="78"/>
        <v>1.8106974098075974</v>
      </c>
      <c r="L149" s="349">
        <f t="shared" si="79"/>
        <v>0.98570755319300751</v>
      </c>
      <c r="M149" s="337">
        <f t="shared" si="63"/>
        <v>1.0002090075773262</v>
      </c>
      <c r="N149" s="340">
        <f t="shared" si="64"/>
        <v>2.0443638636253963E-2</v>
      </c>
      <c r="O149" s="341">
        <f t="shared" si="65"/>
        <v>0.99998206634136966</v>
      </c>
      <c r="P149" s="342">
        <f t="shared" si="66"/>
        <v>1.0362365302492012E-2</v>
      </c>
      <c r="Q149" s="343">
        <f t="shared" si="67"/>
        <v>18.579979761403521</v>
      </c>
      <c r="R149" s="344">
        <f t="shared" si="68"/>
        <v>-121.11392156713359</v>
      </c>
      <c r="S149" s="346">
        <f t="shared" si="69"/>
        <v>58.886078432866412</v>
      </c>
      <c r="U149" s="319">
        <f t="shared" si="75"/>
        <v>1000000000</v>
      </c>
      <c r="V149" s="319">
        <f t="shared" si="76"/>
        <v>71621522.702500015</v>
      </c>
      <c r="X149" s="345">
        <f t="shared" si="70"/>
        <v>38.774542147122986</v>
      </c>
      <c r="Y149" s="346">
        <f t="shared" si="71"/>
        <v>-34.658663948816653</v>
      </c>
      <c r="AA149" s="345">
        <f t="shared" si="72"/>
        <v>36.603484627197304</v>
      </c>
      <c r="AB149" s="346">
        <f t="shared" si="73"/>
        <v>-86.455257618316907</v>
      </c>
      <c r="AD149">
        <f t="shared" si="77"/>
        <v>0</v>
      </c>
      <c r="AE149">
        <f t="shared" si="52"/>
        <v>0</v>
      </c>
    </row>
    <row r="150" spans="1:31" x14ac:dyDescent="0.2">
      <c r="A150" s="350">
        <v>8511.4</v>
      </c>
      <c r="B150" s="364">
        <f t="shared" si="74"/>
        <v>8.5114000000000001</v>
      </c>
      <c r="C150" s="337">
        <f t="shared" si="53"/>
        <v>16.921481968024707</v>
      </c>
      <c r="D150" s="338">
        <f t="shared" si="54"/>
        <v>1.5116653958166328</v>
      </c>
      <c r="E150" s="338">
        <f t="shared" si="55"/>
        <v>1.0000823637934466</v>
      </c>
      <c r="F150" s="339">
        <f t="shared" si="56"/>
        <v>1.2834184094190253E-2</v>
      </c>
      <c r="G150" s="338">
        <f t="shared" si="57"/>
        <v>1</v>
      </c>
      <c r="H150" s="339">
        <f t="shared" si="58"/>
        <v>0</v>
      </c>
      <c r="I150" s="337">
        <f t="shared" si="59"/>
        <v>1610.1578611012349</v>
      </c>
      <c r="J150" s="340">
        <f t="shared" si="60"/>
        <v>1.5701752696374316</v>
      </c>
      <c r="K150" s="348">
        <f t="shared" si="78"/>
        <v>1.8179080945460668</v>
      </c>
      <c r="L150" s="349">
        <f t="shared" si="79"/>
        <v>0.98833292695722252</v>
      </c>
      <c r="M150" s="337">
        <f t="shared" si="63"/>
        <v>1.0002114072914969</v>
      </c>
      <c r="N150" s="340">
        <f t="shared" si="64"/>
        <v>2.0560644640287219E-2</v>
      </c>
      <c r="O150" s="341">
        <f t="shared" si="65"/>
        <v>0.99998186044277049</v>
      </c>
      <c r="P150" s="342">
        <f t="shared" si="66"/>
        <v>1.0421693655517445E-2</v>
      </c>
      <c r="Q150" s="343">
        <f t="shared" si="67"/>
        <v>18.515494830096056</v>
      </c>
      <c r="R150" s="344">
        <f t="shared" si="68"/>
        <v>-120.98897057380182</v>
      </c>
      <c r="S150" s="346">
        <f t="shared" si="69"/>
        <v>59.011029426198178</v>
      </c>
      <c r="U150" s="319">
        <f t="shared" si="75"/>
        <v>1000000000</v>
      </c>
      <c r="V150" s="319">
        <f t="shared" si="76"/>
        <v>72443929.959999993</v>
      </c>
      <c r="X150" s="345">
        <f t="shared" si="70"/>
        <v>38.759457669053234</v>
      </c>
      <c r="Y150" s="346">
        <f t="shared" si="71"/>
        <v>-34.515148778976588</v>
      </c>
      <c r="AA150" s="345">
        <f t="shared" si="72"/>
        <v>36.554084173959581</v>
      </c>
      <c r="AB150" s="346">
        <f t="shared" si="73"/>
        <v>-86.473821794825227</v>
      </c>
      <c r="AD150">
        <f t="shared" si="77"/>
        <v>0</v>
      </c>
      <c r="AE150">
        <f t="shared" si="52"/>
        <v>0</v>
      </c>
    </row>
    <row r="151" spans="1:31" x14ac:dyDescent="0.2">
      <c r="A151" s="350">
        <v>8560.9500000000007</v>
      </c>
      <c r="B151" s="364">
        <f t="shared" si="74"/>
        <v>8.5609500000000001</v>
      </c>
      <c r="C151" s="337">
        <f t="shared" si="53"/>
        <v>17.019649090440943</v>
      </c>
      <c r="D151" s="338">
        <f t="shared" si="54"/>
        <v>1.5120068499494719</v>
      </c>
      <c r="E151" s="338">
        <f t="shared" si="55"/>
        <v>1.0000833255235504</v>
      </c>
      <c r="F151" s="339">
        <f t="shared" si="56"/>
        <v>1.2908891355139602E-2</v>
      </c>
      <c r="G151" s="338">
        <f t="shared" si="57"/>
        <v>1</v>
      </c>
      <c r="H151" s="339">
        <f t="shared" si="58"/>
        <v>0</v>
      </c>
      <c r="I151" s="337">
        <f t="shared" si="59"/>
        <v>1619.5315588869394</v>
      </c>
      <c r="J151" s="340">
        <f t="shared" si="60"/>
        <v>1.570178864258859</v>
      </c>
      <c r="K151" s="348">
        <f t="shared" si="78"/>
        <v>1.8252953457913299</v>
      </c>
      <c r="L151" s="349">
        <f t="shared" si="79"/>
        <v>0.99099643349360034</v>
      </c>
      <c r="M151" s="337">
        <f t="shared" si="63"/>
        <v>1.0002138756514369</v>
      </c>
      <c r="N151" s="340">
        <f t="shared" si="64"/>
        <v>2.0680306544995423E-2</v>
      </c>
      <c r="O151" s="341">
        <f t="shared" si="65"/>
        <v>0.99998164865442096</v>
      </c>
      <c r="P151" s="342">
        <f t="shared" si="66"/>
        <v>1.0482369064646236E-2</v>
      </c>
      <c r="Q151" s="343">
        <f t="shared" si="67"/>
        <v>18.450044752995268</v>
      </c>
      <c r="R151" s="344">
        <f t="shared" si="68"/>
        <v>-120.86218488398291</v>
      </c>
      <c r="S151" s="346">
        <f t="shared" si="69"/>
        <v>59.137815116017094</v>
      </c>
      <c r="U151" s="319">
        <f t="shared" si="75"/>
        <v>1000000000</v>
      </c>
      <c r="V151" s="319">
        <f t="shared" si="76"/>
        <v>73289864.902500018</v>
      </c>
      <c r="X151" s="345">
        <f t="shared" si="70"/>
        <v>38.744241521803339</v>
      </c>
      <c r="Y151" s="346">
        <f t="shared" si="71"/>
        <v>-34.369603174315337</v>
      </c>
      <c r="AA151" s="345">
        <f t="shared" si="72"/>
        <v>36.503850244108691</v>
      </c>
      <c r="AB151" s="346">
        <f t="shared" si="73"/>
        <v>-86.492581709667576</v>
      </c>
      <c r="AD151">
        <f t="shared" si="77"/>
        <v>0</v>
      </c>
      <c r="AE151">
        <f t="shared" si="52"/>
        <v>0</v>
      </c>
    </row>
    <row r="152" spans="1:31" x14ac:dyDescent="0.2">
      <c r="A152" s="350">
        <v>8610.5</v>
      </c>
      <c r="B152" s="364">
        <f t="shared" si="74"/>
        <v>8.6105</v>
      </c>
      <c r="C152" s="337">
        <f t="shared" si="53"/>
        <v>17.117818174434156</v>
      </c>
      <c r="D152" s="338">
        <f t="shared" si="54"/>
        <v>1.5123443877063463</v>
      </c>
      <c r="E152" s="338">
        <f t="shared" si="55"/>
        <v>1.0000842928352836</v>
      </c>
      <c r="F152" s="339">
        <f t="shared" si="56"/>
        <v>1.2983598471987661E-2</v>
      </c>
      <c r="G152" s="338">
        <f t="shared" si="57"/>
        <v>1</v>
      </c>
      <c r="H152" s="339">
        <f t="shared" si="58"/>
        <v>0</v>
      </c>
      <c r="I152" s="337">
        <f t="shared" si="59"/>
        <v>1628.9052566933292</v>
      </c>
      <c r="J152" s="340">
        <f t="shared" si="60"/>
        <v>1.5701824175090711</v>
      </c>
      <c r="K152" s="348">
        <f t="shared" si="78"/>
        <v>1.8326954417248735</v>
      </c>
      <c r="L152" s="349">
        <f t="shared" si="79"/>
        <v>0.99363844912265953</v>
      </c>
      <c r="M152" s="337">
        <f t="shared" si="63"/>
        <v>1.0002163583333403</v>
      </c>
      <c r="N152" s="340">
        <f t="shared" si="64"/>
        <v>2.0799967857380679E-2</v>
      </c>
      <c r="O152" s="341">
        <f t="shared" si="65"/>
        <v>0.99998143563737862</v>
      </c>
      <c r="P152" s="342">
        <f t="shared" si="66"/>
        <v>1.0543044551023438E-2</v>
      </c>
      <c r="Q152" s="343">
        <f t="shared" si="67"/>
        <v>18.385092171187011</v>
      </c>
      <c r="R152" s="344">
        <f t="shared" si="68"/>
        <v>-120.73640374898744</v>
      </c>
      <c r="S152" s="346">
        <f t="shared" si="69"/>
        <v>59.263596251012558</v>
      </c>
      <c r="U152" s="319">
        <f t="shared" si="75"/>
        <v>1000000000</v>
      </c>
      <c r="V152" s="319">
        <f t="shared" si="76"/>
        <v>74140710.25</v>
      </c>
      <c r="X152" s="345">
        <f t="shared" si="70"/>
        <v>38.72923483624875</v>
      </c>
      <c r="Y152" s="346">
        <f t="shared" si="71"/>
        <v>-34.225286503609112</v>
      </c>
      <c r="AA152" s="345">
        <f t="shared" si="72"/>
        <v>36.45390434785503</v>
      </c>
      <c r="AB152" s="346">
        <f t="shared" si="73"/>
        <v>-86.511117245378301</v>
      </c>
      <c r="AD152">
        <f t="shared" si="77"/>
        <v>0</v>
      </c>
      <c r="AE152">
        <f t="shared" si="52"/>
        <v>0</v>
      </c>
    </row>
    <row r="153" spans="1:31" x14ac:dyDescent="0.2">
      <c r="A153" s="350">
        <v>8660.0499999999993</v>
      </c>
      <c r="B153" s="364">
        <f t="shared" si="74"/>
        <v>8.66005</v>
      </c>
      <c r="C153" s="337">
        <f t="shared" si="53"/>
        <v>17.215989186448404</v>
      </c>
      <c r="D153" s="338">
        <f t="shared" si="54"/>
        <v>1.5126780760069189</v>
      </c>
      <c r="E153" s="338">
        <f t="shared" si="55"/>
        <v>1.0000852657286294</v>
      </c>
      <c r="F153" s="339">
        <f t="shared" si="56"/>
        <v>1.3058305443900952E-2</v>
      </c>
      <c r="G153" s="338">
        <f t="shared" si="57"/>
        <v>1</v>
      </c>
      <c r="H153" s="339">
        <f t="shared" si="58"/>
        <v>0</v>
      </c>
      <c r="I153" s="337">
        <f t="shared" si="59"/>
        <v>1638.2789545200494</v>
      </c>
      <c r="J153" s="340">
        <f t="shared" si="60"/>
        <v>1.5701859300982057</v>
      </c>
      <c r="K153" s="348">
        <f t="shared" si="78"/>
        <v>1.8401082273798537</v>
      </c>
      <c r="L153" s="349">
        <f t="shared" si="79"/>
        <v>0.99625919646214267</v>
      </c>
      <c r="M153" s="337">
        <f t="shared" si="63"/>
        <v>1.0002188553371001</v>
      </c>
      <c r="N153" s="340">
        <f t="shared" si="64"/>
        <v>2.0919628574020594E-2</v>
      </c>
      <c r="O153" s="341">
        <f t="shared" si="65"/>
        <v>0.99998122139165524</v>
      </c>
      <c r="P153" s="342">
        <f t="shared" si="66"/>
        <v>1.0603720115096133E-2</v>
      </c>
      <c r="Q153" s="343">
        <f t="shared" si="67"/>
        <v>18.320630153031278</v>
      </c>
      <c r="R153" s="344">
        <f t="shared" si="68"/>
        <v>-120.61161828853767</v>
      </c>
      <c r="S153" s="346">
        <f t="shared" si="69"/>
        <v>59.38838171146233</v>
      </c>
      <c r="U153" s="319">
        <f t="shared" si="75"/>
        <v>1000000000</v>
      </c>
      <c r="V153" s="319">
        <f t="shared" si="76"/>
        <v>74996466.002499983</v>
      </c>
      <c r="X153" s="345">
        <f t="shared" si="70"/>
        <v>38.714433951707463</v>
      </c>
      <c r="Y153" s="346">
        <f t="shared" si="71"/>
        <v>-34.082186052292627</v>
      </c>
      <c r="AA153" s="345">
        <f t="shared" si="72"/>
        <v>36.40424321424058</v>
      </c>
      <c r="AB153" s="346">
        <f t="shared" si="73"/>
        <v>-86.529432236245057</v>
      </c>
      <c r="AD153">
        <f t="shared" si="77"/>
        <v>0</v>
      </c>
      <c r="AE153">
        <f t="shared" si="52"/>
        <v>0</v>
      </c>
    </row>
    <row r="154" spans="1:31" x14ac:dyDescent="0.2">
      <c r="A154" s="350">
        <v>8709.6</v>
      </c>
      <c r="B154" s="364">
        <f t="shared" si="74"/>
        <v>8.7096</v>
      </c>
      <c r="C154" s="337">
        <f t="shared" si="53"/>
        <v>17.314162093688164</v>
      </c>
      <c r="D154" s="338">
        <f t="shared" si="54"/>
        <v>1.5130079802565637</v>
      </c>
      <c r="E154" s="338">
        <f t="shared" si="55"/>
        <v>1.0000862442035721</v>
      </c>
      <c r="F154" s="339">
        <f t="shared" si="56"/>
        <v>1.3133012270045997E-2</v>
      </c>
      <c r="G154" s="338">
        <f t="shared" si="57"/>
        <v>1</v>
      </c>
      <c r="H154" s="339">
        <f t="shared" si="58"/>
        <v>0</v>
      </c>
      <c r="I154" s="337">
        <f t="shared" si="59"/>
        <v>1647.6526523667533</v>
      </c>
      <c r="J154" s="340">
        <f t="shared" si="60"/>
        <v>1.5701894027202403</v>
      </c>
      <c r="K154" s="348">
        <f t="shared" si="78"/>
        <v>1.8475335500128778</v>
      </c>
      <c r="L154" s="349">
        <f t="shared" si="79"/>
        <v>0.99885889572876219</v>
      </c>
      <c r="M154" s="337">
        <f t="shared" si="63"/>
        <v>1.000221366662609</v>
      </c>
      <c r="N154" s="340">
        <f t="shared" si="64"/>
        <v>2.103928869149288E-2</v>
      </c>
      <c r="O154" s="341">
        <f t="shared" si="65"/>
        <v>0.99998100591726269</v>
      </c>
      <c r="P154" s="342">
        <f t="shared" si="66"/>
        <v>1.066439575731141E-2</v>
      </c>
      <c r="Q154" s="343">
        <f t="shared" si="67"/>
        <v>18.256651898231564</v>
      </c>
      <c r="R154" s="344">
        <f t="shared" si="68"/>
        <v>-120.48781967223664</v>
      </c>
      <c r="S154" s="346">
        <f t="shared" si="69"/>
        <v>59.51218032776336</v>
      </c>
      <c r="U154" s="319">
        <f t="shared" si="75"/>
        <v>1000000000</v>
      </c>
      <c r="V154" s="319">
        <f t="shared" si="76"/>
        <v>75857132.160000011</v>
      </c>
      <c r="X154" s="345">
        <f t="shared" si="70"/>
        <v>38.699835283617595</v>
      </c>
      <c r="Y154" s="346">
        <f t="shared" si="71"/>
        <v>-33.940289242443569</v>
      </c>
      <c r="AA154" s="345">
        <f t="shared" si="72"/>
        <v>36.354863627530733</v>
      </c>
      <c r="AB154" s="346">
        <f t="shared" si="73"/>
        <v>-86.547530429793056</v>
      </c>
      <c r="AD154">
        <f t="shared" si="77"/>
        <v>0</v>
      </c>
      <c r="AE154">
        <f t="shared" ref="AE154:AE217" si="80">IF(AD154&gt;0,S154,0)</f>
        <v>0</v>
      </c>
    </row>
    <row r="155" spans="1:31" x14ac:dyDescent="0.2">
      <c r="A155" s="350">
        <v>8760.3250000000007</v>
      </c>
      <c r="B155" s="364">
        <f t="shared" si="74"/>
        <v>8.7603249999999999</v>
      </c>
      <c r="C155" s="337">
        <f t="shared" si="53"/>
        <v>17.414664946095154</v>
      </c>
      <c r="D155" s="338">
        <f t="shared" si="54"/>
        <v>1.5133418546907573</v>
      </c>
      <c r="E155" s="338">
        <f t="shared" si="55"/>
        <v>1.0000872516631898</v>
      </c>
      <c r="F155" s="339">
        <f t="shared" si="56"/>
        <v>1.3209490498730696E-2</v>
      </c>
      <c r="G155" s="338">
        <f t="shared" si="57"/>
        <v>1</v>
      </c>
      <c r="H155" s="339">
        <f t="shared" si="58"/>
        <v>0</v>
      </c>
      <c r="I155" s="337">
        <f t="shared" si="59"/>
        <v>1657.2486326751732</v>
      </c>
      <c r="J155" s="340">
        <f t="shared" si="60"/>
        <v>1.5701929169981002</v>
      </c>
      <c r="K155" s="348">
        <f t="shared" si="78"/>
        <v>1.8551477817200441</v>
      </c>
      <c r="L155" s="349">
        <f t="shared" si="79"/>
        <v>1.001498667494686</v>
      </c>
      <c r="M155" s="337">
        <f t="shared" si="63"/>
        <v>1.0002239523753262</v>
      </c>
      <c r="N155" s="340">
        <f t="shared" si="64"/>
        <v>2.1161785735460736E-2</v>
      </c>
      <c r="O155" s="341">
        <f t="shared" si="65"/>
        <v>0.9999807840605287</v>
      </c>
      <c r="P155" s="342">
        <f t="shared" si="66"/>
        <v>1.072651030797293E-2</v>
      </c>
      <c r="Q155" s="343">
        <f t="shared" si="67"/>
        <v>18.191650642001271</v>
      </c>
      <c r="R155" s="344">
        <f t="shared" si="68"/>
        <v>-120.36209842577692</v>
      </c>
      <c r="S155" s="346">
        <f t="shared" si="69"/>
        <v>59.637901574223079</v>
      </c>
      <c r="U155" s="319">
        <f t="shared" si="75"/>
        <v>1000000000</v>
      </c>
      <c r="V155" s="319">
        <f t="shared" si="76"/>
        <v>76743294.105625018</v>
      </c>
      <c r="X155" s="345">
        <f t="shared" si="70"/>
        <v>38.685096232944872</v>
      </c>
      <c r="Y155" s="346">
        <f t="shared" si="71"/>
        <v>-33.796261378125351</v>
      </c>
      <c r="AA155" s="345">
        <f t="shared" si="72"/>
        <v>36.30460142197316</v>
      </c>
      <c r="AB155" s="346">
        <f t="shared" si="73"/>
        <v>-86.56583704765157</v>
      </c>
      <c r="AD155">
        <f t="shared" si="77"/>
        <v>0</v>
      </c>
      <c r="AE155">
        <f t="shared" si="80"/>
        <v>0</v>
      </c>
    </row>
    <row r="156" spans="1:31" x14ac:dyDescent="0.2">
      <c r="A156" s="350">
        <v>8811.0499999999993</v>
      </c>
      <c r="B156" s="364">
        <f t="shared" si="74"/>
        <v>8.8110499999999998</v>
      </c>
      <c r="C156" s="337">
        <f t="shared" si="53"/>
        <v>17.515169717473984</v>
      </c>
      <c r="D156" s="338">
        <f t="shared" si="54"/>
        <v>1.513671897514399</v>
      </c>
      <c r="E156" s="338">
        <f t="shared" si="55"/>
        <v>1.0000882649722254</v>
      </c>
      <c r="F156" s="339">
        <f t="shared" si="56"/>
        <v>1.3285968572884221E-2</v>
      </c>
      <c r="G156" s="338">
        <f t="shared" si="57"/>
        <v>1</v>
      </c>
      <c r="H156" s="339">
        <f t="shared" si="58"/>
        <v>0</v>
      </c>
      <c r="I156" s="337">
        <f t="shared" si="59"/>
        <v>1666.8446130038244</v>
      </c>
      <c r="J156" s="340">
        <f t="shared" si="60"/>
        <v>1.5701963908127505</v>
      </c>
      <c r="K156" s="348">
        <f t="shared" si="78"/>
        <v>1.8627748350939404</v>
      </c>
      <c r="L156" s="349">
        <f t="shared" si="79"/>
        <v>1.0041168405114824</v>
      </c>
      <c r="M156" s="337">
        <f t="shared" si="63"/>
        <v>1.0002265530968522</v>
      </c>
      <c r="N156" s="340">
        <f t="shared" si="64"/>
        <v>2.1284282144249628E-2</v>
      </c>
      <c r="O156" s="341">
        <f t="shared" si="65"/>
        <v>0.99998056091618803</v>
      </c>
      <c r="P156" s="342">
        <f t="shared" si="66"/>
        <v>1.078862494147521E-2</v>
      </c>
      <c r="Q156" s="343">
        <f t="shared" si="67"/>
        <v>18.127142350888285</v>
      </c>
      <c r="R156" s="344">
        <f t="shared" si="68"/>
        <v>-120.237392820209</v>
      </c>
      <c r="S156" s="346">
        <f t="shared" si="69"/>
        <v>59.762607179791004</v>
      </c>
      <c r="U156" s="319">
        <f t="shared" si="75"/>
        <v>1000000000</v>
      </c>
      <c r="V156" s="319">
        <f t="shared" si="76"/>
        <v>77634602.102499992</v>
      </c>
      <c r="X156" s="345">
        <f t="shared" si="70"/>
        <v>38.6705617372848</v>
      </c>
      <c r="Y156" s="346">
        <f t="shared" si="71"/>
        <v>-33.653468676212107</v>
      </c>
      <c r="AA156" s="345">
        <f t="shared" si="72"/>
        <v>36.254627626520247</v>
      </c>
      <c r="AB156" s="346">
        <f t="shared" si="73"/>
        <v>-86.583924143996896</v>
      </c>
      <c r="AD156">
        <f t="shared" si="77"/>
        <v>0</v>
      </c>
      <c r="AE156">
        <f t="shared" si="80"/>
        <v>0</v>
      </c>
    </row>
    <row r="157" spans="1:31" x14ac:dyDescent="0.2">
      <c r="A157" s="350">
        <v>8861.7749999999996</v>
      </c>
      <c r="B157" s="364">
        <f t="shared" si="74"/>
        <v>8.8617749999999997</v>
      </c>
      <c r="C157" s="337">
        <f t="shared" si="53"/>
        <v>17.615676374979056</v>
      </c>
      <c r="D157" s="338">
        <f t="shared" si="54"/>
        <v>1.5139981742389974</v>
      </c>
      <c r="E157" s="338">
        <f t="shared" si="55"/>
        <v>1.0000892841306612</v>
      </c>
      <c r="F157" s="339">
        <f t="shared" si="56"/>
        <v>1.336244649161243E-2</v>
      </c>
      <c r="G157" s="338">
        <f t="shared" si="57"/>
        <v>1</v>
      </c>
      <c r="H157" s="339">
        <f t="shared" si="58"/>
        <v>0</v>
      </c>
      <c r="I157" s="337">
        <f t="shared" si="59"/>
        <v>1676.4405933523599</v>
      </c>
      <c r="J157" s="340">
        <f t="shared" si="60"/>
        <v>1.5701998248590285</v>
      </c>
      <c r="K157" s="348">
        <f t="shared" si="78"/>
        <v>1.8704145532845269</v>
      </c>
      <c r="L157" s="349">
        <f t="shared" si="79"/>
        <v>1.006713643324807</v>
      </c>
      <c r="M157" s="337">
        <f t="shared" si="63"/>
        <v>1.0002291688270695</v>
      </c>
      <c r="N157" s="340">
        <f t="shared" si="64"/>
        <v>2.1406777914188321E-2</v>
      </c>
      <c r="O157" s="341">
        <f t="shared" si="65"/>
        <v>0.99998033648425355</v>
      </c>
      <c r="P157" s="342">
        <f t="shared" si="66"/>
        <v>1.0850739658297909E-2</v>
      </c>
      <c r="Q157" s="343">
        <f t="shared" si="67"/>
        <v>18.063120137316933</v>
      </c>
      <c r="R157" s="344">
        <f t="shared" si="68"/>
        <v>-120.11369355404391</v>
      </c>
      <c r="S157" s="346">
        <f t="shared" si="69"/>
        <v>59.886306445956095</v>
      </c>
      <c r="U157" s="319">
        <f t="shared" si="75"/>
        <v>1000000000</v>
      </c>
      <c r="V157" s="319">
        <f t="shared" si="76"/>
        <v>78531056.15062499</v>
      </c>
      <c r="X157" s="345">
        <f t="shared" si="70"/>
        <v>38.656228187138673</v>
      </c>
      <c r="Y157" s="346">
        <f t="shared" si="71"/>
        <v>-33.511898081603213</v>
      </c>
      <c r="AA157" s="345">
        <f t="shared" si="72"/>
        <v>36.204938963095017</v>
      </c>
      <c r="AB157" s="346">
        <f t="shared" si="73"/>
        <v>-86.601795472440671</v>
      </c>
      <c r="AD157">
        <f t="shared" si="77"/>
        <v>0</v>
      </c>
      <c r="AE157">
        <f t="shared" si="80"/>
        <v>0</v>
      </c>
    </row>
    <row r="158" spans="1:31" x14ac:dyDescent="0.2">
      <c r="A158" s="347">
        <v>8912.5</v>
      </c>
      <c r="B158" s="364">
        <f t="shared" si="74"/>
        <v>8.9124999999999996</v>
      </c>
      <c r="C158" s="337">
        <f t="shared" si="53"/>
        <v>17.716184886509513</v>
      </c>
      <c r="D158" s="338">
        <f t="shared" si="54"/>
        <v>1.5143207488926558</v>
      </c>
      <c r="E158" s="338">
        <f t="shared" si="55"/>
        <v>1.0000903091384794</v>
      </c>
      <c r="F158" s="339">
        <f t="shared" si="56"/>
        <v>1.3438924254021174E-2</v>
      </c>
      <c r="G158" s="338">
        <f t="shared" si="57"/>
        <v>1</v>
      </c>
      <c r="H158" s="339">
        <f t="shared" si="58"/>
        <v>0</v>
      </c>
      <c r="I158" s="337">
        <f t="shared" si="59"/>
        <v>1686.0365737204402</v>
      </c>
      <c r="J158" s="340">
        <f t="shared" si="60"/>
        <v>1.5702032198159521</v>
      </c>
      <c r="K158" s="348">
        <f t="shared" ref="K158:K214" si="81">SQRT(1+(A158/Zero2)^2)</f>
        <v>1.878066781735596</v>
      </c>
      <c r="L158" s="349">
        <f t="shared" ref="L158:L214" si="82">ATAN(A158/Zero2)</f>
        <v>1.0092893019175853</v>
      </c>
      <c r="M158" s="337">
        <f t="shared" si="63"/>
        <v>1.0002317995658605</v>
      </c>
      <c r="N158" s="340">
        <f t="shared" si="64"/>
        <v>2.1529273041605682E-2</v>
      </c>
      <c r="O158" s="341">
        <f t="shared" si="65"/>
        <v>0.99998011076473803</v>
      </c>
      <c r="P158" s="342">
        <f t="shared" si="66"/>
        <v>1.0912854458920672E-2</v>
      </c>
      <c r="Q158" s="343">
        <f t="shared" si="67"/>
        <v>17.999577244961205</v>
      </c>
      <c r="R158" s="344">
        <f t="shared" si="68"/>
        <v>-119.99099138672705</v>
      </c>
      <c r="S158" s="346">
        <f t="shared" si="69"/>
        <v>60.009008613272954</v>
      </c>
      <c r="U158" s="319">
        <f t="shared" si="75"/>
        <v>1000000000</v>
      </c>
      <c r="V158" s="319">
        <f t="shared" si="76"/>
        <v>79432656.25</v>
      </c>
      <c r="X158" s="345">
        <f t="shared" si="70"/>
        <v>38.642092048856689</v>
      </c>
      <c r="Y158" s="346">
        <f t="shared" si="71"/>
        <v>-33.371536685125314</v>
      </c>
      <c r="AA158" s="345">
        <f t="shared" si="72"/>
        <v>36.155532209021274</v>
      </c>
      <c r="AB158" s="346">
        <f t="shared" si="73"/>
        <v>-86.619454701601725</v>
      </c>
      <c r="AD158">
        <f t="shared" si="77"/>
        <v>0</v>
      </c>
      <c r="AE158">
        <f t="shared" si="80"/>
        <v>0</v>
      </c>
    </row>
    <row r="159" spans="1:31" x14ac:dyDescent="0.2">
      <c r="A159" s="347">
        <v>8964.4</v>
      </c>
      <c r="B159" s="364">
        <f t="shared" si="74"/>
        <v>8.9643999999999995</v>
      </c>
      <c r="C159" s="337">
        <f t="shared" si="53"/>
        <v>17.819023475508715</v>
      </c>
      <c r="D159" s="338">
        <f t="shared" si="54"/>
        <v>1.5146470292768925</v>
      </c>
      <c r="E159" s="338">
        <f t="shared" si="55"/>
        <v>1.0000913639438784</v>
      </c>
      <c r="F159" s="339">
        <f t="shared" si="56"/>
        <v>1.3517173393789793E-2</v>
      </c>
      <c r="G159" s="338">
        <f t="shared" si="57"/>
        <v>1</v>
      </c>
      <c r="H159" s="339">
        <f t="shared" si="58"/>
        <v>0</v>
      </c>
      <c r="I159" s="337">
        <f t="shared" si="59"/>
        <v>1695.8548365516267</v>
      </c>
      <c r="J159" s="340">
        <f t="shared" si="60"/>
        <v>1.5702066536481161</v>
      </c>
      <c r="K159" s="348">
        <f t="shared" si="81"/>
        <v>1.8859090567924988</v>
      </c>
      <c r="L159" s="349">
        <f t="shared" si="82"/>
        <v>1.011902971835666</v>
      </c>
      <c r="M159" s="337">
        <f t="shared" si="63"/>
        <v>1.000234506777369</v>
      </c>
      <c r="N159" s="340">
        <f t="shared" si="64"/>
        <v>2.1654604992037592E-2</v>
      </c>
      <c r="O159" s="341">
        <f t="shared" si="65"/>
        <v>0.99997987848397729</v>
      </c>
      <c r="P159" s="342">
        <f t="shared" si="66"/>
        <v>1.097640818148931E-2</v>
      </c>
      <c r="Q159" s="343">
        <f t="shared" si="67"/>
        <v>17.935051629363436</v>
      </c>
      <c r="R159" s="344">
        <f t="shared" si="68"/>
        <v>-119.8664693706978</v>
      </c>
      <c r="S159" s="346">
        <f t="shared" si="69"/>
        <v>60.1335306293022</v>
      </c>
      <c r="U159" s="319">
        <f t="shared" si="75"/>
        <v>1000000000</v>
      </c>
      <c r="V159" s="319">
        <f t="shared" si="76"/>
        <v>80360467.359999999</v>
      </c>
      <c r="X159" s="345">
        <f t="shared" si="70"/>
        <v>38.62782917552498</v>
      </c>
      <c r="Y159" s="346">
        <f t="shared" si="71"/>
        <v>-33.229162165504739</v>
      </c>
      <c r="AA159" s="345">
        <f t="shared" si="72"/>
        <v>36.105269466755217</v>
      </c>
      <c r="AB159" s="346">
        <f t="shared" si="73"/>
        <v>-86.637307205193054</v>
      </c>
      <c r="AD159">
        <f t="shared" si="77"/>
        <v>0</v>
      </c>
      <c r="AE159">
        <f t="shared" si="80"/>
        <v>0</v>
      </c>
    </row>
    <row r="160" spans="1:31" x14ac:dyDescent="0.2">
      <c r="A160" s="347">
        <v>9016.2999999999993</v>
      </c>
      <c r="B160" s="364">
        <f t="shared" si="74"/>
        <v>9.0162999999999993</v>
      </c>
      <c r="C160" s="337">
        <f t="shared" si="53"/>
        <v>17.921863939730727</v>
      </c>
      <c r="D160" s="338">
        <f t="shared" si="54"/>
        <v>1.5149695651263488</v>
      </c>
      <c r="E160" s="338">
        <f t="shared" si="55"/>
        <v>1.0000924248727519</v>
      </c>
      <c r="F160" s="339">
        <f t="shared" si="56"/>
        <v>1.3595422368019326E-2</v>
      </c>
      <c r="G160" s="338">
        <f t="shared" si="57"/>
        <v>1</v>
      </c>
      <c r="H160" s="339">
        <f t="shared" si="58"/>
        <v>0</v>
      </c>
      <c r="I160" s="337">
        <f t="shared" si="59"/>
        <v>1705.6730994025788</v>
      </c>
      <c r="J160" s="340">
        <f t="shared" si="60"/>
        <v>1.5702100479483594</v>
      </c>
      <c r="K160" s="348">
        <f t="shared" si="81"/>
        <v>1.893764108252123</v>
      </c>
      <c r="L160" s="349">
        <f t="shared" si="82"/>
        <v>1.0144949771112515</v>
      </c>
      <c r="M160" s="337">
        <f t="shared" si="63"/>
        <v>1.0002372297005735</v>
      </c>
      <c r="N160" s="340">
        <f t="shared" si="64"/>
        <v>2.1779936262061542E-2</v>
      </c>
      <c r="O160" s="341">
        <f t="shared" si="65"/>
        <v>0.99997964485532109</v>
      </c>
      <c r="P160" s="342">
        <f t="shared" si="66"/>
        <v>1.1039961992801167E-2</v>
      </c>
      <c r="Q160" s="343">
        <f t="shared" si="67"/>
        <v>17.871013896141484</v>
      </c>
      <c r="R160" s="344">
        <f t="shared" si="68"/>
        <v>-119.74297181178281</v>
      </c>
      <c r="S160" s="346">
        <f t="shared" si="69"/>
        <v>60.257028188217191</v>
      </c>
      <c r="U160" s="319">
        <f t="shared" si="75"/>
        <v>1000000000</v>
      </c>
      <c r="V160" s="319">
        <f t="shared" si="76"/>
        <v>81293665.689999983</v>
      </c>
      <c r="X160" s="345">
        <f t="shared" si="70"/>
        <v>38.613765716846288</v>
      </c>
      <c r="Y160" s="346">
        <f t="shared" si="71"/>
        <v>-33.088026634468513</v>
      </c>
      <c r="AA160" s="345">
        <f t="shared" si="72"/>
        <v>36.05529519221195</v>
      </c>
      <c r="AB160" s="346">
        <f t="shared" si="73"/>
        <v>-86.654945177314289</v>
      </c>
      <c r="AD160">
        <f t="shared" si="77"/>
        <v>0</v>
      </c>
      <c r="AE160">
        <f t="shared" si="80"/>
        <v>0</v>
      </c>
    </row>
    <row r="161" spans="1:31" x14ac:dyDescent="0.2">
      <c r="A161" s="347">
        <v>9068.2000000000007</v>
      </c>
      <c r="B161" s="364">
        <f t="shared" si="74"/>
        <v>9.0682000000000009</v>
      </c>
      <c r="C161" s="337">
        <f t="shared" si="53"/>
        <v>18.024706247078139</v>
      </c>
      <c r="D161" s="338">
        <f t="shared" si="54"/>
        <v>1.5152884204681285</v>
      </c>
      <c r="E161" s="338">
        <f t="shared" si="55"/>
        <v>1.0000934919250803</v>
      </c>
      <c r="F161" s="339">
        <f t="shared" si="56"/>
        <v>1.367367117575208E-2</v>
      </c>
      <c r="G161" s="338">
        <f t="shared" si="57"/>
        <v>1</v>
      </c>
      <c r="H161" s="339">
        <f t="shared" si="58"/>
        <v>0</v>
      </c>
      <c r="I161" s="337">
        <f t="shared" si="59"/>
        <v>1715.491362272958</v>
      </c>
      <c r="J161" s="340">
        <f t="shared" si="60"/>
        <v>1.5702134033954407</v>
      </c>
      <c r="K161" s="348">
        <f t="shared" si="81"/>
        <v>1.9016317777883966</v>
      </c>
      <c r="L161" s="349">
        <f t="shared" si="82"/>
        <v>1.0170655515996665</v>
      </c>
      <c r="M161" s="337">
        <f t="shared" si="63"/>
        <v>1.000239968335346</v>
      </c>
      <c r="N161" s="340">
        <f t="shared" si="64"/>
        <v>2.190526684774571E-2</v>
      </c>
      <c r="O161" s="341">
        <f t="shared" si="65"/>
        <v>0.99997940987878353</v>
      </c>
      <c r="P161" s="342">
        <f t="shared" si="66"/>
        <v>1.1103515893370009E-2</v>
      </c>
      <c r="Q161" s="343">
        <f t="shared" si="67"/>
        <v>17.807457215369009</v>
      </c>
      <c r="R161" s="344">
        <f t="shared" si="68"/>
        <v>-119.62048901829073</v>
      </c>
      <c r="S161" s="346">
        <f t="shared" si="69"/>
        <v>60.379510981709274</v>
      </c>
      <c r="U161" s="319">
        <f t="shared" si="75"/>
        <v>1000000000</v>
      </c>
      <c r="V161" s="319">
        <f t="shared" si="76"/>
        <v>82232251.24000001</v>
      </c>
      <c r="X161" s="345">
        <f t="shared" si="70"/>
        <v>38.59989812263558</v>
      </c>
      <c r="Y161" s="346">
        <f t="shared" si="71"/>
        <v>-32.948116731758198</v>
      </c>
      <c r="AA161" s="345">
        <f t="shared" si="72"/>
        <v>36.005606105650195</v>
      </c>
      <c r="AB161" s="346">
        <f t="shared" si="73"/>
        <v>-86.67237228653255</v>
      </c>
      <c r="AD161">
        <f t="shared" si="77"/>
        <v>0</v>
      </c>
      <c r="AE161">
        <f t="shared" si="80"/>
        <v>0</v>
      </c>
    </row>
    <row r="162" spans="1:31" x14ac:dyDescent="0.2">
      <c r="A162" s="347">
        <v>9120.1</v>
      </c>
      <c r="B162" s="364">
        <f t="shared" si="74"/>
        <v>9.1201000000000008</v>
      </c>
      <c r="C162" s="337">
        <f t="shared" si="53"/>
        <v>18.127550366181364</v>
      </c>
      <c r="D162" s="338">
        <f t="shared" si="54"/>
        <v>1.5156036578793735</v>
      </c>
      <c r="E162" s="338">
        <f t="shared" si="55"/>
        <v>1.0000945651008439</v>
      </c>
      <c r="F162" s="339">
        <f t="shared" si="56"/>
        <v>1.375191981603037E-2</v>
      </c>
      <c r="G162" s="338">
        <f t="shared" si="57"/>
        <v>1</v>
      </c>
      <c r="H162" s="339">
        <f t="shared" si="58"/>
        <v>0</v>
      </c>
      <c r="I162" s="337">
        <f t="shared" si="59"/>
        <v>1725.3096251624318</v>
      </c>
      <c r="J162" s="340">
        <f t="shared" si="60"/>
        <v>1.5702167206526678</v>
      </c>
      <c r="K162" s="348">
        <f t="shared" si="81"/>
        <v>1.9095119094323729</v>
      </c>
      <c r="L162" s="349">
        <f t="shared" si="82"/>
        <v>1.0196149264381462</v>
      </c>
      <c r="M162" s="337">
        <f t="shared" si="63"/>
        <v>1.0002427226815573</v>
      </c>
      <c r="N162" s="340">
        <f t="shared" si="64"/>
        <v>2.203059674515841E-2</v>
      </c>
      <c r="O162" s="341">
        <f t="shared" si="65"/>
        <v>0.99997917355437893</v>
      </c>
      <c r="P162" s="342">
        <f t="shared" si="66"/>
        <v>1.1167069883709585E-2</v>
      </c>
      <c r="Q162" s="343">
        <f t="shared" si="67"/>
        <v>17.744374887912407</v>
      </c>
      <c r="R162" s="344">
        <f t="shared" si="68"/>
        <v>-119.49901137030348</v>
      </c>
      <c r="S162" s="346">
        <f t="shared" si="69"/>
        <v>60.500988629696522</v>
      </c>
      <c r="U162" s="319">
        <f t="shared" si="75"/>
        <v>1000000000</v>
      </c>
      <c r="V162" s="319">
        <f t="shared" si="76"/>
        <v>83176224.010000005</v>
      </c>
      <c r="X162" s="345">
        <f t="shared" si="70"/>
        <v>38.586222918045642</v>
      </c>
      <c r="Y162" s="346">
        <f t="shared" si="71"/>
        <v>-32.809419251965203</v>
      </c>
      <c r="AA162" s="345">
        <f t="shared" si="72"/>
        <v>35.956198982783526</v>
      </c>
      <c r="AB162" s="346">
        <f t="shared" si="73"/>
        <v>-86.689592118338282</v>
      </c>
      <c r="AD162">
        <f t="shared" si="77"/>
        <v>0</v>
      </c>
      <c r="AE162">
        <f t="shared" si="80"/>
        <v>0</v>
      </c>
    </row>
    <row r="163" spans="1:31" x14ac:dyDescent="0.2">
      <c r="A163" s="347">
        <v>9173.2000000000007</v>
      </c>
      <c r="B163" s="364">
        <f t="shared" si="74"/>
        <v>9.1732000000000014</v>
      </c>
      <c r="C163" s="337">
        <f t="shared" si="53"/>
        <v>18.232774227093429</v>
      </c>
      <c r="D163" s="338">
        <f t="shared" si="54"/>
        <v>1.5159225034272616</v>
      </c>
      <c r="E163" s="338">
        <f t="shared" si="55"/>
        <v>1.0000956694273448</v>
      </c>
      <c r="F163" s="339">
        <f t="shared" si="56"/>
        <v>1.3831977499119252E-2</v>
      </c>
      <c r="G163" s="338">
        <f t="shared" si="57"/>
        <v>1</v>
      </c>
      <c r="H163" s="339">
        <f t="shared" si="58"/>
        <v>0</v>
      </c>
      <c r="I163" s="337">
        <f t="shared" si="59"/>
        <v>1735.354899930046</v>
      </c>
      <c r="J163" s="340">
        <f t="shared" si="60"/>
        <v>1.5702200757609528</v>
      </c>
      <c r="K163" s="348">
        <f t="shared" si="81"/>
        <v>1.9175869780708368</v>
      </c>
      <c r="L163" s="349">
        <f t="shared" si="82"/>
        <v>1.0222015440279175</v>
      </c>
      <c r="M163" s="337">
        <f t="shared" si="63"/>
        <v>1.0002455569724829</v>
      </c>
      <c r="N163" s="340">
        <f t="shared" si="64"/>
        <v>2.2158823727240901E-2</v>
      </c>
      <c r="O163" s="341">
        <f t="shared" si="65"/>
        <v>0.99997893037086683</v>
      </c>
      <c r="P163" s="342">
        <f t="shared" si="66"/>
        <v>1.1232093423917176E-2</v>
      </c>
      <c r="Q163" s="343">
        <f t="shared" si="67"/>
        <v>17.680318088457195</v>
      </c>
      <c r="R163" s="344">
        <f t="shared" si="68"/>
        <v>-119.37575530876683</v>
      </c>
      <c r="S163" s="346">
        <f t="shared" si="69"/>
        <v>60.624244691233173</v>
      </c>
      <c r="U163" s="319">
        <f t="shared" si="75"/>
        <v>1000000000</v>
      </c>
      <c r="V163" s="319">
        <f t="shared" si="76"/>
        <v>84147598.24000001</v>
      </c>
      <c r="X163" s="345">
        <f t="shared" si="70"/>
        <v>38.572427090355774</v>
      </c>
      <c r="Y163" s="346">
        <f t="shared" si="71"/>
        <v>-32.66875607913385</v>
      </c>
      <c r="AA163" s="345">
        <f t="shared" si="72"/>
        <v>35.905938011018179</v>
      </c>
      <c r="AB163" s="346">
        <f t="shared" si="73"/>
        <v>-86.706999229632999</v>
      </c>
      <c r="AD163">
        <f t="shared" si="77"/>
        <v>0</v>
      </c>
      <c r="AE163">
        <f t="shared" si="80"/>
        <v>0</v>
      </c>
    </row>
    <row r="164" spans="1:31" x14ac:dyDescent="0.2">
      <c r="A164" s="347">
        <v>9226.2999999999993</v>
      </c>
      <c r="B164" s="364">
        <f t="shared" si="74"/>
        <v>9.2262999999999984</v>
      </c>
      <c r="C164" s="337">
        <f t="shared" si="53"/>
        <v>18.337999920322616</v>
      </c>
      <c r="D164" s="338">
        <f t="shared" si="54"/>
        <v>1.5162376898571477</v>
      </c>
      <c r="E164" s="338">
        <f t="shared" si="55"/>
        <v>1.0000967801636775</v>
      </c>
      <c r="F164" s="339">
        <f t="shared" si="56"/>
        <v>1.3912035004892496E-2</v>
      </c>
      <c r="G164" s="338">
        <f t="shared" si="57"/>
        <v>1</v>
      </c>
      <c r="H164" s="339">
        <f t="shared" si="58"/>
        <v>0</v>
      </c>
      <c r="I164" s="337">
        <f t="shared" si="59"/>
        <v>1745.4001747169696</v>
      </c>
      <c r="J164" s="340">
        <f t="shared" si="60"/>
        <v>1.5702233922500315</v>
      </c>
      <c r="K164" s="348">
        <f t="shared" si="81"/>
        <v>1.9256747688486644</v>
      </c>
      <c r="L164" s="349">
        <f t="shared" si="82"/>
        <v>1.0247664511870329</v>
      </c>
      <c r="M164" s="337">
        <f t="shared" si="63"/>
        <v>1.0002484077095113</v>
      </c>
      <c r="N164" s="340">
        <f t="shared" si="64"/>
        <v>2.2287049980530448E-2</v>
      </c>
      <c r="O164" s="341">
        <f t="shared" si="65"/>
        <v>0.99997868577646853</v>
      </c>
      <c r="P164" s="342">
        <f t="shared" si="66"/>
        <v>1.129711705918275E-2</v>
      </c>
      <c r="Q164" s="343">
        <f t="shared" si="67"/>
        <v>17.616744050247281</v>
      </c>
      <c r="R164" s="344">
        <f t="shared" si="68"/>
        <v>-119.25353127239268</v>
      </c>
      <c r="S164" s="346">
        <f t="shared" si="69"/>
        <v>60.746468727607322</v>
      </c>
      <c r="U164" s="319">
        <f t="shared" si="75"/>
        <v>1000000000</v>
      </c>
      <c r="V164" s="319">
        <f t="shared" si="76"/>
        <v>85124611.689999983</v>
      </c>
      <c r="X164" s="345">
        <f t="shared" si="70"/>
        <v>38.558825526505473</v>
      </c>
      <c r="Y164" s="346">
        <f t="shared" si="71"/>
        <v>-32.529334567877612</v>
      </c>
      <c r="AA164" s="345">
        <f t="shared" si="72"/>
        <v>35.855965536658566</v>
      </c>
      <c r="AB164" s="346">
        <f t="shared" si="73"/>
        <v>-86.72419670451508</v>
      </c>
      <c r="AD164">
        <f t="shared" si="77"/>
        <v>0</v>
      </c>
      <c r="AE164">
        <f t="shared" si="80"/>
        <v>0</v>
      </c>
    </row>
    <row r="165" spans="1:31" x14ac:dyDescent="0.2">
      <c r="A165" s="347">
        <v>9279.4</v>
      </c>
      <c r="B165" s="364">
        <f t="shared" si="74"/>
        <v>9.279399999999999</v>
      </c>
      <c r="C165" s="337">
        <f t="shared" si="53"/>
        <v>18.443227414506715</v>
      </c>
      <c r="D165" s="338">
        <f t="shared" si="54"/>
        <v>1.516549279736958</v>
      </c>
      <c r="E165" s="338">
        <f t="shared" si="55"/>
        <v>1.0000978973098205</v>
      </c>
      <c r="F165" s="339">
        <f t="shared" si="56"/>
        <v>1.3992092332324487E-2</v>
      </c>
      <c r="G165" s="338">
        <f t="shared" si="57"/>
        <v>1</v>
      </c>
      <c r="H165" s="339">
        <f t="shared" si="58"/>
        <v>0</v>
      </c>
      <c r="I165" s="337">
        <f t="shared" si="59"/>
        <v>1755.4454495228717</v>
      </c>
      <c r="J165" s="340">
        <f t="shared" si="60"/>
        <v>1.5702266707828818</v>
      </c>
      <c r="K165" s="348">
        <f t="shared" si="81"/>
        <v>1.9337751221392339</v>
      </c>
      <c r="L165" s="349">
        <f t="shared" si="82"/>
        <v>1.0273098867820296</v>
      </c>
      <c r="M165" s="337">
        <f t="shared" si="63"/>
        <v>1.0002512748925023</v>
      </c>
      <c r="N165" s="340">
        <f t="shared" si="64"/>
        <v>2.241527550081672E-2</v>
      </c>
      <c r="O165" s="341">
        <f t="shared" si="65"/>
        <v>0.99997843977119916</v>
      </c>
      <c r="P165" s="342">
        <f t="shared" si="66"/>
        <v>1.1362140790056537E-2</v>
      </c>
      <c r="Q165" s="343">
        <f t="shared" si="67"/>
        <v>17.553646003919006</v>
      </c>
      <c r="R165" s="344">
        <f t="shared" si="68"/>
        <v>-119.1323291978496</v>
      </c>
      <c r="S165" s="346">
        <f t="shared" si="69"/>
        <v>60.8676708021504</v>
      </c>
      <c r="U165" s="319">
        <f t="shared" si="75"/>
        <v>1000000000</v>
      </c>
      <c r="V165" s="319">
        <f t="shared" si="76"/>
        <v>86107264.359999999</v>
      </c>
      <c r="X165" s="345">
        <f t="shared" si="70"/>
        <v>38.545414738026196</v>
      </c>
      <c r="Y165" s="346">
        <f t="shared" si="71"/>
        <v>-32.391141069896626</v>
      </c>
      <c r="AA165" s="345">
        <f t="shared" si="72"/>
        <v>35.806278278809579</v>
      </c>
      <c r="AB165" s="346">
        <f t="shared" si="73"/>
        <v>-86.741188127952924</v>
      </c>
      <c r="AD165">
        <f t="shared" si="77"/>
        <v>0</v>
      </c>
      <c r="AE165">
        <f t="shared" si="80"/>
        <v>0</v>
      </c>
    </row>
    <row r="166" spans="1:31" x14ac:dyDescent="0.2">
      <c r="A166" s="347">
        <v>9332.5</v>
      </c>
      <c r="B166" s="364">
        <f t="shared" si="74"/>
        <v>9.3324999999999996</v>
      </c>
      <c r="C166" s="337">
        <f t="shared" si="53"/>
        <v>18.548456678994658</v>
      </c>
      <c r="D166" s="338">
        <f t="shared" si="54"/>
        <v>1.5168573342176048</v>
      </c>
      <c r="E166" s="338">
        <f t="shared" si="55"/>
        <v>1.0000990208657521</v>
      </c>
      <c r="F166" s="339">
        <f t="shared" si="56"/>
        <v>1.4072149480389616E-2</v>
      </c>
      <c r="G166" s="338">
        <f t="shared" si="57"/>
        <v>1</v>
      </c>
      <c r="H166" s="339">
        <f t="shared" si="58"/>
        <v>0</v>
      </c>
      <c r="I166" s="337">
        <f t="shared" si="59"/>
        <v>1765.4907243474279</v>
      </c>
      <c r="J166" s="340">
        <f t="shared" si="60"/>
        <v>1.570229912007393</v>
      </c>
      <c r="K166" s="348">
        <f t="shared" si="81"/>
        <v>1.9418878807334883</v>
      </c>
      <c r="L166" s="349">
        <f t="shared" si="82"/>
        <v>1.0298320868082305</v>
      </c>
      <c r="M166" s="337">
        <f t="shared" si="63"/>
        <v>1.0002541585213143</v>
      </c>
      <c r="N166" s="340">
        <f t="shared" si="64"/>
        <v>2.2543500283889521E-2</v>
      </c>
      <c r="O166" s="341">
        <f t="shared" si="65"/>
        <v>0.99997819235507446</v>
      </c>
      <c r="P166" s="342">
        <f t="shared" si="66"/>
        <v>1.1427164617088753E-2</v>
      </c>
      <c r="Q166" s="343">
        <f t="shared" si="67"/>
        <v>17.491017310346951</v>
      </c>
      <c r="R166" s="344">
        <f t="shared" si="68"/>
        <v>-119.01213910426104</v>
      </c>
      <c r="S166" s="346">
        <f t="shared" si="69"/>
        <v>60.987860895738962</v>
      </c>
      <c r="U166" s="319">
        <f t="shared" si="75"/>
        <v>1000000000</v>
      </c>
      <c r="V166" s="319">
        <f t="shared" si="76"/>
        <v>87095556.25</v>
      </c>
      <c r="X166" s="345">
        <f t="shared" si="70"/>
        <v>38.532191311190822</v>
      </c>
      <c r="Y166" s="346">
        <f t="shared" si="71"/>
        <v>-32.254162100535019</v>
      </c>
      <c r="AA166" s="345">
        <f t="shared" si="72"/>
        <v>35.756873012072894</v>
      </c>
      <c r="AB166" s="346">
        <f t="shared" si="73"/>
        <v>-86.757977003726012</v>
      </c>
      <c r="AD166">
        <f t="shared" si="77"/>
        <v>0</v>
      </c>
      <c r="AE166">
        <f t="shared" si="80"/>
        <v>0</v>
      </c>
    </row>
    <row r="167" spans="1:31" x14ac:dyDescent="0.2">
      <c r="A167" s="347">
        <v>9386.85</v>
      </c>
      <c r="B167" s="364">
        <f t="shared" si="74"/>
        <v>9.3868500000000008</v>
      </c>
      <c r="C167" s="337">
        <f t="shared" si="53"/>
        <v>18.65616489393296</v>
      </c>
      <c r="D167" s="338">
        <f t="shared" si="54"/>
        <v>1.517169041613704</v>
      </c>
      <c r="E167" s="338">
        <f t="shared" si="55"/>
        <v>1.0001001775086171</v>
      </c>
      <c r="F167" s="339">
        <f t="shared" si="56"/>
        <v>1.4154091026099004E-2</v>
      </c>
      <c r="G167" s="338">
        <f t="shared" si="57"/>
        <v>1</v>
      </c>
      <c r="H167" s="339">
        <f t="shared" si="58"/>
        <v>0</v>
      </c>
      <c r="I167" s="337">
        <f t="shared" si="59"/>
        <v>1775.7724698789323</v>
      </c>
      <c r="J167" s="340">
        <f t="shared" si="60"/>
        <v>1.5702331915566745</v>
      </c>
      <c r="K167" s="348">
        <f t="shared" si="81"/>
        <v>1.9502043028331733</v>
      </c>
      <c r="L167" s="349">
        <f t="shared" si="82"/>
        <v>1.0323919126882886</v>
      </c>
      <c r="M167" s="337">
        <f t="shared" si="63"/>
        <v>1.0002571270631038</v>
      </c>
      <c r="N167" s="340">
        <f t="shared" si="64"/>
        <v>2.2674742773296751E-2</v>
      </c>
      <c r="O167" s="341">
        <f t="shared" si="65"/>
        <v>0.99997793765360476</v>
      </c>
      <c r="P167" s="342">
        <f t="shared" si="66"/>
        <v>1.1493719237002492E-2</v>
      </c>
      <c r="Q167" s="343">
        <f t="shared" si="67"/>
        <v>17.427393566790354</v>
      </c>
      <c r="R167" s="344">
        <f t="shared" si="68"/>
        <v>-118.89015734230605</v>
      </c>
      <c r="S167" s="346">
        <f t="shared" si="69"/>
        <v>61.109842657693946</v>
      </c>
      <c r="U167" s="319">
        <f t="shared" si="75"/>
        <v>1000000000</v>
      </c>
      <c r="V167" s="319">
        <f t="shared" si="76"/>
        <v>88112952.922499999</v>
      </c>
      <c r="X167" s="345">
        <f t="shared" si="70"/>
        <v>38.518847141419947</v>
      </c>
      <c r="Y167" s="346">
        <f t="shared" si="71"/>
        <v>-32.115202426228898</v>
      </c>
      <c r="AA167" s="345">
        <f t="shared" si="72"/>
        <v>35.706593438287172</v>
      </c>
      <c r="AB167" s="346">
        <f t="shared" si="73"/>
        <v>-86.774954916077149</v>
      </c>
      <c r="AD167">
        <f t="shared" si="77"/>
        <v>0</v>
      </c>
      <c r="AE167">
        <f t="shared" si="80"/>
        <v>0</v>
      </c>
    </row>
    <row r="168" spans="1:31" x14ac:dyDescent="0.2">
      <c r="A168" s="347">
        <v>9441.2000000000007</v>
      </c>
      <c r="B168" s="364">
        <f t="shared" si="74"/>
        <v>9.4412000000000003</v>
      </c>
      <c r="C168" s="337">
        <f t="shared" si="53"/>
        <v>18.763874900722104</v>
      </c>
      <c r="D168" s="338">
        <f t="shared" si="54"/>
        <v>1.5174771704603056</v>
      </c>
      <c r="E168" s="338">
        <f t="shared" si="55"/>
        <v>1.000101340866556</v>
      </c>
      <c r="F168" s="339">
        <f t="shared" si="56"/>
        <v>1.4236032381723199E-2</v>
      </c>
      <c r="G168" s="338">
        <f t="shared" si="57"/>
        <v>1</v>
      </c>
      <c r="H168" s="339">
        <f t="shared" si="58"/>
        <v>0</v>
      </c>
      <c r="I168" s="337">
        <f t="shared" si="59"/>
        <v>1786.0542154293157</v>
      </c>
      <c r="J168" s="340">
        <f t="shared" si="60"/>
        <v>1.5702364333473138</v>
      </c>
      <c r="K168" s="348">
        <f t="shared" si="81"/>
        <v>1.9585333954779585</v>
      </c>
      <c r="L168" s="349">
        <f t="shared" si="82"/>
        <v>1.0349299826404594</v>
      </c>
      <c r="M168" s="337">
        <f t="shared" si="63"/>
        <v>1.0002601128338107</v>
      </c>
      <c r="N168" s="340">
        <f t="shared" si="64"/>
        <v>2.2805984481448396E-2</v>
      </c>
      <c r="O168" s="341">
        <f t="shared" si="65"/>
        <v>0.99997768147410693</v>
      </c>
      <c r="P168" s="342">
        <f t="shared" si="66"/>
        <v>1.1560273958821605E-2</v>
      </c>
      <c r="Q168" s="343">
        <f t="shared" si="67"/>
        <v>17.364247863923083</v>
      </c>
      <c r="R168" s="344">
        <f t="shared" si="68"/>
        <v>-118.76921487597291</v>
      </c>
      <c r="S168" s="346">
        <f t="shared" si="69"/>
        <v>61.230785124027094</v>
      </c>
      <c r="U168" s="319">
        <f t="shared" si="75"/>
        <v>1000000000</v>
      </c>
      <c r="V168" s="319">
        <f t="shared" si="76"/>
        <v>89136257.440000013</v>
      </c>
      <c r="X168" s="345">
        <f t="shared" si="70"/>
        <v>38.505692253388389</v>
      </c>
      <c r="Y168" s="346">
        <f t="shared" si="71"/>
        <v>-31.977487066598041</v>
      </c>
      <c r="AA168" s="345">
        <f t="shared" si="72"/>
        <v>35.656602623451455</v>
      </c>
      <c r="AB168" s="346">
        <f t="shared" si="73"/>
        <v>-86.791727809374876</v>
      </c>
      <c r="AD168">
        <f t="shared" si="77"/>
        <v>0</v>
      </c>
      <c r="AE168">
        <f t="shared" si="80"/>
        <v>0</v>
      </c>
    </row>
    <row r="169" spans="1:31" x14ac:dyDescent="0.2">
      <c r="A169" s="347">
        <v>9495.5499999999993</v>
      </c>
      <c r="B169" s="364">
        <f t="shared" si="74"/>
        <v>9.4955499999999997</v>
      </c>
      <c r="C169" s="337">
        <f t="shared" si="53"/>
        <v>18.871586668681001</v>
      </c>
      <c r="D169" s="338">
        <f t="shared" si="54"/>
        <v>1.5177817819733506</v>
      </c>
      <c r="E169" s="338">
        <f t="shared" si="55"/>
        <v>1.0001025109395456</v>
      </c>
      <c r="F169" s="339">
        <f t="shared" si="56"/>
        <v>1.4317973546162498E-2</v>
      </c>
      <c r="G169" s="338">
        <f t="shared" si="57"/>
        <v>1</v>
      </c>
      <c r="H169" s="339">
        <f t="shared" si="58"/>
        <v>0</v>
      </c>
      <c r="I169" s="337">
        <f t="shared" si="59"/>
        <v>1796.335960998254</v>
      </c>
      <c r="J169" s="340">
        <f t="shared" si="60"/>
        <v>1.5702396380276715</v>
      </c>
      <c r="K169" s="348">
        <f t="shared" si="81"/>
        <v>1.9668749977006141</v>
      </c>
      <c r="L169" s="349">
        <f t="shared" si="82"/>
        <v>1.037446540559849</v>
      </c>
      <c r="M169" s="337">
        <f t="shared" si="63"/>
        <v>1.0002631158332809</v>
      </c>
      <c r="N169" s="340">
        <f t="shared" si="64"/>
        <v>2.2937225403830357E-2</v>
      </c>
      <c r="O169" s="341">
        <f t="shared" si="65"/>
        <v>0.99997742381659782</v>
      </c>
      <c r="P169" s="342">
        <f t="shared" si="66"/>
        <v>1.1626828783136096E-2</v>
      </c>
      <c r="Q169" s="343">
        <f t="shared" si="67"/>
        <v>17.301573486647683</v>
      </c>
      <c r="R169" s="344">
        <f t="shared" si="68"/>
        <v>-118.64930127550298</v>
      </c>
      <c r="S169" s="346">
        <f t="shared" si="69"/>
        <v>61.350698724497022</v>
      </c>
      <c r="U169" s="319">
        <f t="shared" si="75"/>
        <v>1000000000</v>
      </c>
      <c r="V169" s="319">
        <f t="shared" si="76"/>
        <v>90165469.80249998</v>
      </c>
      <c r="X169" s="345">
        <f t="shared" si="70"/>
        <v>38.492723217959224</v>
      </c>
      <c r="Y169" s="346">
        <f t="shared" si="71"/>
        <v>-31.841002084371915</v>
      </c>
      <c r="AA169" s="345">
        <f t="shared" si="72"/>
        <v>35.606897281605214</v>
      </c>
      <c r="AB169" s="346">
        <f t="shared" si="73"/>
        <v>-86.80829919113107</v>
      </c>
      <c r="AD169">
        <f t="shared" si="77"/>
        <v>0</v>
      </c>
      <c r="AE169">
        <f t="shared" si="80"/>
        <v>0</v>
      </c>
    </row>
    <row r="170" spans="1:31" x14ac:dyDescent="0.2">
      <c r="A170" s="347">
        <v>9549.9</v>
      </c>
      <c r="B170" s="364">
        <f t="shared" si="74"/>
        <v>9.5498999999999992</v>
      </c>
      <c r="C170" s="337">
        <f t="shared" si="53"/>
        <v>18.979300167824555</v>
      </c>
      <c r="D170" s="338">
        <f t="shared" si="54"/>
        <v>1.5180829359817474</v>
      </c>
      <c r="E170" s="338">
        <f t="shared" si="55"/>
        <v>1.0001036877275622</v>
      </c>
      <c r="F170" s="339">
        <f t="shared" si="56"/>
        <v>1.4399914518317212E-2</v>
      </c>
      <c r="G170" s="338">
        <f t="shared" si="57"/>
        <v>1</v>
      </c>
      <c r="H170" s="339">
        <f t="shared" si="58"/>
        <v>0</v>
      </c>
      <c r="I170" s="337">
        <f t="shared" si="59"/>
        <v>1806.6177065854311</v>
      </c>
      <c r="J170" s="340">
        <f t="shared" si="60"/>
        <v>1.5702428062313492</v>
      </c>
      <c r="K170" s="348">
        <f t="shared" si="81"/>
        <v>1.9752289510133088</v>
      </c>
      <c r="L170" s="349">
        <f t="shared" si="82"/>
        <v>1.0399418273146712</v>
      </c>
      <c r="M170" s="337">
        <f t="shared" si="63"/>
        <v>1.0002661360613592</v>
      </c>
      <c r="N170" s="340">
        <f t="shared" si="64"/>
        <v>2.3068465535928697E-2</v>
      </c>
      <c r="O170" s="341">
        <f t="shared" si="65"/>
        <v>0.99997716468109432</v>
      </c>
      <c r="P170" s="342">
        <f t="shared" si="66"/>
        <v>1.1693383710535969E-2</v>
      </c>
      <c r="Q170" s="343">
        <f t="shared" si="67"/>
        <v>17.239363849686672</v>
      </c>
      <c r="R170" s="344">
        <f t="shared" si="68"/>
        <v>-118.530406204249</v>
      </c>
      <c r="S170" s="346">
        <f t="shared" si="69"/>
        <v>61.469593795750995</v>
      </c>
      <c r="U170" s="319">
        <f t="shared" si="75"/>
        <v>1000000000</v>
      </c>
      <c r="V170" s="319">
        <f t="shared" si="76"/>
        <v>91200590.00999999</v>
      </c>
      <c r="X170" s="345">
        <f t="shared" si="70"/>
        <v>38.479936680189518</v>
      </c>
      <c r="Y170" s="346">
        <f t="shared" si="71"/>
        <v>-31.70573371486249</v>
      </c>
      <c r="AA170" s="345">
        <f t="shared" si="72"/>
        <v>35.55747418241392</v>
      </c>
      <c r="AB170" s="346">
        <f t="shared" si="73"/>
        <v>-86.824672489386515</v>
      </c>
      <c r="AD170">
        <f t="shared" si="77"/>
        <v>0</v>
      </c>
      <c r="AE170">
        <f t="shared" si="80"/>
        <v>0</v>
      </c>
    </row>
    <row r="171" spans="1:31" x14ac:dyDescent="0.2">
      <c r="A171" s="347">
        <v>9605.5249999999996</v>
      </c>
      <c r="B171" s="364">
        <f t="shared" si="74"/>
        <v>9.6055250000000001</v>
      </c>
      <c r="C171" s="337">
        <f t="shared" si="53"/>
        <v>19.089542286581299</v>
      </c>
      <c r="D171" s="338">
        <f t="shared" si="54"/>
        <v>1.5183876356801489</v>
      </c>
      <c r="E171" s="338">
        <f t="shared" si="55"/>
        <v>1.0001048990750636</v>
      </c>
      <c r="F171" s="339">
        <f t="shared" si="56"/>
        <v>1.4483777548537047E-2</v>
      </c>
      <c r="G171" s="338">
        <f t="shared" si="57"/>
        <v>1</v>
      </c>
      <c r="H171" s="339">
        <f t="shared" si="58"/>
        <v>0</v>
      </c>
      <c r="I171" s="337">
        <f t="shared" si="59"/>
        <v>1817.1406522946411</v>
      </c>
      <c r="J171" s="340">
        <f t="shared" si="60"/>
        <v>1.5702460116339807</v>
      </c>
      <c r="K171" s="348">
        <f t="shared" si="81"/>
        <v>1.9837915065041587</v>
      </c>
      <c r="L171" s="349">
        <f t="shared" si="82"/>
        <v>1.0424738738522565</v>
      </c>
      <c r="M171" s="337">
        <f t="shared" si="63"/>
        <v>1.0002692449805903</v>
      </c>
      <c r="N171" s="340">
        <f t="shared" si="64"/>
        <v>2.3202783615354806E-2</v>
      </c>
      <c r="O171" s="341">
        <f t="shared" si="65"/>
        <v>0.99997689793612377</v>
      </c>
      <c r="P171" s="342">
        <f t="shared" si="66"/>
        <v>1.1761500061436864E-2</v>
      </c>
      <c r="Q171" s="343">
        <f t="shared" si="67"/>
        <v>17.176169315642195</v>
      </c>
      <c r="R171" s="344">
        <f t="shared" si="68"/>
        <v>-118.40976592755362</v>
      </c>
      <c r="S171" s="346">
        <f t="shared" si="69"/>
        <v>61.590234072446378</v>
      </c>
      <c r="U171" s="319">
        <f t="shared" si="75"/>
        <v>1000000000</v>
      </c>
      <c r="V171" s="319">
        <f t="shared" si="76"/>
        <v>92266110.52562499</v>
      </c>
      <c r="X171" s="345">
        <f t="shared" si="70"/>
        <v>38.467035726800496</v>
      </c>
      <c r="Y171" s="346">
        <f t="shared" si="71"/>
        <v>-31.568537649677211</v>
      </c>
      <c r="AA171" s="345">
        <f t="shared" si="72"/>
        <v>35.507180601758463</v>
      </c>
      <c r="AB171" s="346">
        <f t="shared" si="73"/>
        <v>-86.841228277876425</v>
      </c>
      <c r="AD171">
        <f t="shared" si="77"/>
        <v>0</v>
      </c>
      <c r="AE171">
        <f t="shared" si="80"/>
        <v>0</v>
      </c>
    </row>
    <row r="172" spans="1:31" x14ac:dyDescent="0.2">
      <c r="A172" s="347">
        <v>9661.15</v>
      </c>
      <c r="B172" s="364">
        <f t="shared" si="74"/>
        <v>9.6611499999999992</v>
      </c>
      <c r="C172" s="337">
        <f t="shared" si="53"/>
        <v>19.199786157294806</v>
      </c>
      <c r="D172" s="338">
        <f t="shared" si="54"/>
        <v>1.5186888362762174</v>
      </c>
      <c r="E172" s="338">
        <f t="shared" si="55"/>
        <v>1.0001061174562935</v>
      </c>
      <c r="F172" s="339">
        <f t="shared" si="56"/>
        <v>1.4567640375014086E-2</v>
      </c>
      <c r="G172" s="338">
        <f t="shared" si="57"/>
        <v>1</v>
      </c>
      <c r="H172" s="339">
        <f t="shared" si="58"/>
        <v>0</v>
      </c>
      <c r="I172" s="337">
        <f t="shared" si="59"/>
        <v>1827.6635980223064</v>
      </c>
      <c r="J172" s="340">
        <f t="shared" si="60"/>
        <v>1.5702491801257956</v>
      </c>
      <c r="K172" s="348">
        <f t="shared" si="81"/>
        <v>1.992366671229175</v>
      </c>
      <c r="L172" s="349">
        <f t="shared" si="82"/>
        <v>1.044984140464839</v>
      </c>
      <c r="M172" s="337">
        <f t="shared" si="63"/>
        <v>1.0002723719459132</v>
      </c>
      <c r="N172" s="340">
        <f t="shared" si="64"/>
        <v>2.3337100857416949E-2</v>
      </c>
      <c r="O172" s="341">
        <f t="shared" si="65"/>
        <v>0.99997662964303735</v>
      </c>
      <c r="P172" s="342">
        <f t="shared" si="66"/>
        <v>1.1829616521566944E-2</v>
      </c>
      <c r="Q172" s="343">
        <f t="shared" si="67"/>
        <v>17.113448028127657</v>
      </c>
      <c r="R172" s="344">
        <f t="shared" si="68"/>
        <v>-118.29017091996499</v>
      </c>
      <c r="S172" s="346">
        <f t="shared" si="69"/>
        <v>61.709829080035007</v>
      </c>
      <c r="U172" s="319">
        <f t="shared" si="75"/>
        <v>1000000000</v>
      </c>
      <c r="V172" s="319">
        <f t="shared" si="76"/>
        <v>93337819.32249999</v>
      </c>
      <c r="X172" s="345">
        <f t="shared" si="70"/>
        <v>38.454319053253421</v>
      </c>
      <c r="Y172" s="346">
        <f t="shared" si="71"/>
        <v>-31.432587319462709</v>
      </c>
      <c r="AA172" s="345">
        <f t="shared" si="72"/>
        <v>35.457175987790997</v>
      </c>
      <c r="AB172" s="346">
        <f t="shared" si="73"/>
        <v>-86.857583600502323</v>
      </c>
      <c r="AD172">
        <f t="shared" si="77"/>
        <v>0</v>
      </c>
      <c r="AE172">
        <f t="shared" si="80"/>
        <v>0</v>
      </c>
    </row>
    <row r="173" spans="1:31" x14ac:dyDescent="0.2">
      <c r="A173" s="347">
        <v>9716.7749999999996</v>
      </c>
      <c r="B173" s="364">
        <f t="shared" si="74"/>
        <v>9.7167750000000002</v>
      </c>
      <c r="C173" s="337">
        <f t="shared" si="53"/>
        <v>19.310031749958519</v>
      </c>
      <c r="D173" s="338">
        <f t="shared" si="54"/>
        <v>1.5189865976464665</v>
      </c>
      <c r="E173" s="338">
        <f t="shared" si="55"/>
        <v>1.0001073428712264</v>
      </c>
      <c r="F173" s="339">
        <f t="shared" si="56"/>
        <v>1.4651502996569468E-2</v>
      </c>
      <c r="G173" s="338">
        <f t="shared" si="57"/>
        <v>1</v>
      </c>
      <c r="H173" s="339">
        <f t="shared" si="58"/>
        <v>0</v>
      </c>
      <c r="I173" s="337">
        <f t="shared" si="59"/>
        <v>1838.1865437681106</v>
      </c>
      <c r="J173" s="340">
        <f t="shared" si="60"/>
        <v>1.5702523123406968</v>
      </c>
      <c r="K173" s="348">
        <f t="shared" si="81"/>
        <v>2.0009542830763238</v>
      </c>
      <c r="L173" s="349">
        <f t="shared" si="82"/>
        <v>1.0474728757337486</v>
      </c>
      <c r="M173" s="337">
        <f t="shared" si="63"/>
        <v>1.0002755169571584</v>
      </c>
      <c r="N173" s="340">
        <f t="shared" si="64"/>
        <v>2.3471417257276535E-2</v>
      </c>
      <c r="O173" s="341">
        <f t="shared" si="65"/>
        <v>0.99997635980185384</v>
      </c>
      <c r="P173" s="342">
        <f t="shared" si="66"/>
        <v>1.1897733091558711E-2</v>
      </c>
      <c r="Q173" s="343">
        <f t="shared" si="67"/>
        <v>17.051193329938762</v>
      </c>
      <c r="R173" s="344">
        <f t="shared" si="68"/>
        <v>-118.17161040564011</v>
      </c>
      <c r="S173" s="346">
        <f t="shared" si="69"/>
        <v>61.828389594359891</v>
      </c>
      <c r="U173" s="319">
        <f t="shared" si="75"/>
        <v>1000000000</v>
      </c>
      <c r="V173" s="319">
        <f t="shared" si="76"/>
        <v>94415716.40062499</v>
      </c>
      <c r="X173" s="345">
        <f t="shared" si="70"/>
        <v>38.441783292424361</v>
      </c>
      <c r="Y173" s="346">
        <f t="shared" si="71"/>
        <v>-31.297868517600602</v>
      </c>
      <c r="AA173" s="345">
        <f t="shared" si="72"/>
        <v>35.407457050431162</v>
      </c>
      <c r="AB173" s="346">
        <f t="shared" si="73"/>
        <v>-86.87374188803949</v>
      </c>
      <c r="AD173">
        <f t="shared" si="77"/>
        <v>0</v>
      </c>
      <c r="AE173">
        <f t="shared" si="80"/>
        <v>0</v>
      </c>
    </row>
    <row r="174" spans="1:31" x14ac:dyDescent="0.2">
      <c r="A174" s="347">
        <v>9772.4</v>
      </c>
      <c r="B174" s="364">
        <f t="shared" si="74"/>
        <v>9.7723999999999993</v>
      </c>
      <c r="C174" s="337">
        <f t="shared" si="53"/>
        <v>19.420279035246796</v>
      </c>
      <c r="D174" s="338">
        <f t="shared" si="54"/>
        <v>1.5192809783102252</v>
      </c>
      <c r="E174" s="338">
        <f t="shared" si="55"/>
        <v>1.0001085753198362</v>
      </c>
      <c r="F174" s="339">
        <f t="shared" si="56"/>
        <v>1.4735365412024345E-2</v>
      </c>
      <c r="G174" s="338">
        <f t="shared" si="57"/>
        <v>1</v>
      </c>
      <c r="H174" s="339">
        <f t="shared" si="58"/>
        <v>0</v>
      </c>
      <c r="I174" s="337">
        <f t="shared" si="59"/>
        <v>1848.709489531743</v>
      </c>
      <c r="J174" s="340">
        <f t="shared" si="60"/>
        <v>1.5702554088981542</v>
      </c>
      <c r="K174" s="348">
        <f t="shared" si="81"/>
        <v>2.0095541824713332</v>
      </c>
      <c r="L174" s="349">
        <f t="shared" si="82"/>
        <v>1.0499403250612436</v>
      </c>
      <c r="M174" s="337">
        <f t="shared" si="63"/>
        <v>1.0002786800141559</v>
      </c>
      <c r="N174" s="340">
        <f t="shared" si="64"/>
        <v>2.3605732810095151E-2</v>
      </c>
      <c r="O174" s="341">
        <f t="shared" si="65"/>
        <v>0.99997608841259222</v>
      </c>
      <c r="P174" s="342">
        <f t="shared" si="66"/>
        <v>1.1965849772044663E-2</v>
      </c>
      <c r="Q174" s="343">
        <f t="shared" si="67"/>
        <v>16.989398693153856</v>
      </c>
      <c r="R174" s="344">
        <f t="shared" si="68"/>
        <v>-118.05407371229533</v>
      </c>
      <c r="S174" s="346">
        <f t="shared" si="69"/>
        <v>61.945926287704665</v>
      </c>
      <c r="U174" s="319">
        <f t="shared" si="75"/>
        <v>1000000000</v>
      </c>
      <c r="V174" s="319">
        <f t="shared" si="76"/>
        <v>95499801.75999999</v>
      </c>
      <c r="X174" s="345">
        <f t="shared" si="70"/>
        <v>38.42942515073868</v>
      </c>
      <c r="Y174" s="346">
        <f t="shared" si="71"/>
        <v>-31.164367218792997</v>
      </c>
      <c r="AA174" s="345">
        <f t="shared" si="72"/>
        <v>35.358020555331933</v>
      </c>
      <c r="AB174" s="346">
        <f t="shared" si="73"/>
        <v>-86.889706493502331</v>
      </c>
      <c r="AD174">
        <f t="shared" si="77"/>
        <v>0</v>
      </c>
      <c r="AE174">
        <f t="shared" si="80"/>
        <v>0</v>
      </c>
    </row>
    <row r="175" spans="1:31" x14ac:dyDescent="0.2">
      <c r="A175" s="347">
        <v>9829.2999999999993</v>
      </c>
      <c r="B175" s="364">
        <f t="shared" si="74"/>
        <v>9.8292999999999999</v>
      </c>
      <c r="C175" s="337">
        <f t="shared" si="53"/>
        <v>19.533055058347244</v>
      </c>
      <c r="D175" s="338">
        <f t="shared" si="54"/>
        <v>1.5195786683721204</v>
      </c>
      <c r="E175" s="338">
        <f t="shared" si="55"/>
        <v>1.0001098432951594</v>
      </c>
      <c r="F175" s="339">
        <f t="shared" si="56"/>
        <v>1.4821149852644586E-2</v>
      </c>
      <c r="G175" s="338">
        <f t="shared" si="57"/>
        <v>1</v>
      </c>
      <c r="H175" s="339">
        <f t="shared" si="58"/>
        <v>0</v>
      </c>
      <c r="I175" s="337">
        <f t="shared" si="59"/>
        <v>1859.4736354186502</v>
      </c>
      <c r="J175" s="340">
        <f t="shared" si="60"/>
        <v>1.5702585401712228</v>
      </c>
      <c r="K175" s="348">
        <f t="shared" si="81"/>
        <v>2.0183637526525158</v>
      </c>
      <c r="L175" s="349">
        <f t="shared" si="82"/>
        <v>1.052442560816129</v>
      </c>
      <c r="M175" s="337">
        <f t="shared" si="63"/>
        <v>1.0002819342434481</v>
      </c>
      <c r="N175" s="340">
        <f t="shared" si="64"/>
        <v>2.374312617505344E-2</v>
      </c>
      <c r="O175" s="341">
        <f t="shared" si="65"/>
        <v>0.99997580920103124</v>
      </c>
      <c r="P175" s="342">
        <f t="shared" si="66"/>
        <v>1.2035527893671707E-2</v>
      </c>
      <c r="Q175" s="343">
        <f t="shared" si="67"/>
        <v>16.926656966686142</v>
      </c>
      <c r="R175" s="344">
        <f t="shared" si="68"/>
        <v>-117.93489119278183</v>
      </c>
      <c r="S175" s="346">
        <f t="shared" si="69"/>
        <v>62.065108807218166</v>
      </c>
      <c r="U175" s="319">
        <f t="shared" si="75"/>
        <v>1000000000</v>
      </c>
      <c r="V175" s="319">
        <f t="shared" si="76"/>
        <v>96615138.48999998</v>
      </c>
      <c r="X175" s="345">
        <f t="shared" si="70"/>
        <v>38.416964157946261</v>
      </c>
      <c r="Y175" s="346">
        <f t="shared" si="71"/>
        <v>-31.029051139213252</v>
      </c>
      <c r="AA175" s="345">
        <f t="shared" si="72"/>
        <v>35.307739821656639</v>
      </c>
      <c r="AB175" s="346">
        <f t="shared" si="73"/>
        <v>-86.905840053568539</v>
      </c>
      <c r="AD175">
        <f t="shared" si="77"/>
        <v>0</v>
      </c>
      <c r="AE175">
        <f t="shared" si="80"/>
        <v>0</v>
      </c>
    </row>
    <row r="176" spans="1:31" x14ac:dyDescent="0.2">
      <c r="A176" s="347">
        <v>9886.2000000000007</v>
      </c>
      <c r="B176" s="364">
        <f t="shared" si="74"/>
        <v>9.8862000000000005</v>
      </c>
      <c r="C176" s="337">
        <f t="shared" si="53"/>
        <v>19.645832792581157</v>
      </c>
      <c r="D176" s="338">
        <f t="shared" si="54"/>
        <v>1.5198729406550573</v>
      </c>
      <c r="E176" s="338">
        <f t="shared" si="55"/>
        <v>1.0001111186302427</v>
      </c>
      <c r="F176" s="339">
        <f t="shared" si="56"/>
        <v>1.4906934075112609E-2</v>
      </c>
      <c r="G176" s="338">
        <f t="shared" si="57"/>
        <v>1</v>
      </c>
      <c r="H176" s="339">
        <f t="shared" si="58"/>
        <v>0</v>
      </c>
      <c r="I176" s="337">
        <f t="shared" si="59"/>
        <v>1870.2377813235803</v>
      </c>
      <c r="J176" s="340">
        <f t="shared" si="60"/>
        <v>1.5702616354002326</v>
      </c>
      <c r="K176" s="348">
        <f t="shared" si="81"/>
        <v>2.0271858502975624</v>
      </c>
      <c r="L176" s="349">
        <f t="shared" si="82"/>
        <v>1.0549230330605168</v>
      </c>
      <c r="M176" s="337">
        <f t="shared" si="63"/>
        <v>1.000285207354876</v>
      </c>
      <c r="N176" s="340">
        <f t="shared" si="64"/>
        <v>2.3880518643454123E-2</v>
      </c>
      <c r="O176" s="341">
        <f t="shared" si="65"/>
        <v>0.99997552836965065</v>
      </c>
      <c r="P176" s="342">
        <f t="shared" si="66"/>
        <v>1.210520613225516E-2</v>
      </c>
      <c r="Q176" s="343">
        <f t="shared" si="67"/>
        <v>16.864383216916249</v>
      </c>
      <c r="R176" s="344">
        <f t="shared" si="68"/>
        <v>-117.81675770891765</v>
      </c>
      <c r="S176" s="346">
        <f t="shared" si="69"/>
        <v>62.183242291082351</v>
      </c>
      <c r="U176" s="319">
        <f t="shared" si="75"/>
        <v>1000000000</v>
      </c>
      <c r="V176" s="319">
        <f t="shared" si="76"/>
        <v>97736950.440000013</v>
      </c>
      <c r="X176" s="345">
        <f t="shared" si="70"/>
        <v>38.404682276289755</v>
      </c>
      <c r="Y176" s="346">
        <f t="shared" si="71"/>
        <v>-30.894979900392418</v>
      </c>
      <c r="AA176" s="345">
        <f t="shared" si="72"/>
        <v>35.257747953543259</v>
      </c>
      <c r="AB176" s="346">
        <f t="shared" si="73"/>
        <v>-86.921777808525206</v>
      </c>
      <c r="AD176">
        <f t="shared" si="77"/>
        <v>0</v>
      </c>
      <c r="AE176">
        <f t="shared" si="80"/>
        <v>0</v>
      </c>
    </row>
    <row r="177" spans="1:31" x14ac:dyDescent="0.2">
      <c r="A177" s="347">
        <v>9943.1</v>
      </c>
      <c r="B177" s="364">
        <f t="shared" si="74"/>
        <v>9.9431000000000012</v>
      </c>
      <c r="C177" s="337">
        <f t="shared" si="53"/>
        <v>19.758612208648238</v>
      </c>
      <c r="D177" s="338">
        <f t="shared" si="54"/>
        <v>1.520163853632253</v>
      </c>
      <c r="E177" s="338">
        <f t="shared" si="55"/>
        <v>1.0001124013250575</v>
      </c>
      <c r="F177" s="339">
        <f t="shared" si="56"/>
        <v>1.4992718078166685E-2</v>
      </c>
      <c r="G177" s="338">
        <f t="shared" si="57"/>
        <v>1</v>
      </c>
      <c r="H177" s="339">
        <f t="shared" si="58"/>
        <v>0</v>
      </c>
      <c r="I177" s="337">
        <f t="shared" si="59"/>
        <v>1881.0019272462221</v>
      </c>
      <c r="J177" s="340">
        <f t="shared" si="60"/>
        <v>1.5702646952039767</v>
      </c>
      <c r="K177" s="348">
        <f t="shared" si="81"/>
        <v>2.0360203125615763</v>
      </c>
      <c r="L177" s="349">
        <f t="shared" si="82"/>
        <v>1.0573819943724383</v>
      </c>
      <c r="M177" s="337">
        <f t="shared" si="63"/>
        <v>1.0002884993482544</v>
      </c>
      <c r="N177" s="340">
        <f t="shared" si="64"/>
        <v>2.4017910210118992E-2</v>
      </c>
      <c r="O177" s="341">
        <f t="shared" si="65"/>
        <v>0.99997524591847076</v>
      </c>
      <c r="P177" s="342">
        <f t="shared" si="66"/>
        <v>1.2174884488472022E-2</v>
      </c>
      <c r="Q177" s="343">
        <f t="shared" si="67"/>
        <v>16.802570856633189</v>
      </c>
      <c r="R177" s="344">
        <f t="shared" si="68"/>
        <v>-117.69966217458487</v>
      </c>
      <c r="S177" s="346">
        <f t="shared" si="69"/>
        <v>62.300337825415127</v>
      </c>
      <c r="U177" s="319">
        <f t="shared" si="75"/>
        <v>1000000000</v>
      </c>
      <c r="V177" s="319">
        <f t="shared" si="76"/>
        <v>98865237.610000014</v>
      </c>
      <c r="X177" s="345">
        <f t="shared" si="70"/>
        <v>38.392576207467748</v>
      </c>
      <c r="Y177" s="346">
        <f t="shared" si="71"/>
        <v>-30.762139065832844</v>
      </c>
      <c r="AA177" s="345">
        <f t="shared" si="72"/>
        <v>35.208041662082202</v>
      </c>
      <c r="AB177" s="346">
        <f t="shared" si="73"/>
        <v>-86.937523108752018</v>
      </c>
      <c r="AD177">
        <f t="shared" si="77"/>
        <v>0</v>
      </c>
      <c r="AE177">
        <f t="shared" si="80"/>
        <v>0</v>
      </c>
    </row>
    <row r="178" spans="1:31" x14ac:dyDescent="0.2">
      <c r="A178" s="347">
        <v>10000</v>
      </c>
      <c r="B178" s="364">
        <f t="shared" si="74"/>
        <v>10</v>
      </c>
      <c r="C178" s="337">
        <f t="shared" si="53"/>
        <v>19.871393277912915</v>
      </c>
      <c r="D178" s="338">
        <f t="shared" si="54"/>
        <v>1.5204514644517575</v>
      </c>
      <c r="E178" s="338">
        <f t="shared" si="55"/>
        <v>1.0001136913795758</v>
      </c>
      <c r="F178" s="339">
        <f t="shared" si="56"/>
        <v>1.507850186054511E-2</v>
      </c>
      <c r="G178" s="338">
        <f t="shared" si="57"/>
        <v>1</v>
      </c>
      <c r="H178" s="339">
        <f t="shared" si="58"/>
        <v>0</v>
      </c>
      <c r="I178" s="337">
        <f t="shared" si="59"/>
        <v>1891.7660731862743</v>
      </c>
      <c r="J178" s="340">
        <f t="shared" si="60"/>
        <v>1.570267720187164</v>
      </c>
      <c r="K178" s="348">
        <f t="shared" si="81"/>
        <v>2.0448669791875487</v>
      </c>
      <c r="L178" s="349">
        <f t="shared" si="82"/>
        <v>1.0598196940087448</v>
      </c>
      <c r="M178" s="337">
        <f t="shared" si="63"/>
        <v>1.0002918102233969</v>
      </c>
      <c r="N178" s="340">
        <f t="shared" si="64"/>
        <v>2.4155300869870052E-2</v>
      </c>
      <c r="O178" s="341">
        <f t="shared" si="65"/>
        <v>0.99997496184751222</v>
      </c>
      <c r="P178" s="342">
        <f t="shared" si="66"/>
        <v>1.2244562962999285E-2</v>
      </c>
      <c r="Q178" s="343">
        <f t="shared" si="67"/>
        <v>16.741213427029539</v>
      </c>
      <c r="R178" s="344">
        <f t="shared" si="68"/>
        <v>-117.58359361722154</v>
      </c>
      <c r="S178" s="346">
        <f t="shared" si="69"/>
        <v>62.416406382778462</v>
      </c>
      <c r="U178" s="319">
        <f t="shared" si="75"/>
        <v>1000000000</v>
      </c>
      <c r="V178" s="319">
        <f t="shared" si="76"/>
        <v>100000000</v>
      </c>
      <c r="X178" s="345">
        <f t="shared" si="70"/>
        <v>38.380642725861563</v>
      </c>
      <c r="Y178" s="346">
        <f t="shared" si="71"/>
        <v>-30.630514388519487</v>
      </c>
      <c r="AA178" s="345">
        <f t="shared" si="72"/>
        <v>35.158617714084734</v>
      </c>
      <c r="AB178" s="346">
        <f t="shared" si="73"/>
        <v>-86.953079228702066</v>
      </c>
      <c r="AD178">
        <f t="shared" si="77"/>
        <v>0</v>
      </c>
      <c r="AE178">
        <f t="shared" si="80"/>
        <v>0</v>
      </c>
    </row>
    <row r="179" spans="1:31" x14ac:dyDescent="0.2">
      <c r="A179" s="347">
        <v>10058.25</v>
      </c>
      <c r="B179" s="364">
        <f t="shared" si="74"/>
        <v>10.058249999999999</v>
      </c>
      <c r="C179" s="337">
        <f t="shared" si="53"/>
        <v>19.986851855474516</v>
      </c>
      <c r="D179" s="338">
        <f t="shared" si="54"/>
        <v>1.5207425367849972</v>
      </c>
      <c r="E179" s="338">
        <f t="shared" si="55"/>
        <v>1.0001150196653823</v>
      </c>
      <c r="F179" s="339">
        <f t="shared" si="56"/>
        <v>1.5166320704863978E-2</v>
      </c>
      <c r="G179" s="338">
        <f t="shared" si="57"/>
        <v>1</v>
      </c>
      <c r="H179" s="339">
        <f t="shared" si="58"/>
        <v>0</v>
      </c>
      <c r="I179" s="337">
        <f t="shared" si="59"/>
        <v>1902.7856074923673</v>
      </c>
      <c r="J179" s="340">
        <f t="shared" si="60"/>
        <v>1.5702707814880079</v>
      </c>
      <c r="K179" s="348">
        <f t="shared" si="81"/>
        <v>2.0539360178503752</v>
      </c>
      <c r="L179" s="349">
        <f t="shared" si="82"/>
        <v>1.0622934625615841</v>
      </c>
      <c r="M179" s="337">
        <f t="shared" si="63"/>
        <v>1.0002952192106769</v>
      </c>
      <c r="N179" s="340">
        <f t="shared" si="64"/>
        <v>2.4295950292866207E-2</v>
      </c>
      <c r="O179" s="341">
        <f t="shared" si="65"/>
        <v>0.99997466935887402</v>
      </c>
      <c r="P179" s="342">
        <f t="shared" si="66"/>
        <v>1.2315894740763196E-2</v>
      </c>
      <c r="Q179" s="343">
        <f t="shared" si="67"/>
        <v>16.678864878520091</v>
      </c>
      <c r="R179" s="344">
        <f t="shared" si="68"/>
        <v>-117.46582371436142</v>
      </c>
      <c r="S179" s="346">
        <f t="shared" si="69"/>
        <v>62.53417628563858</v>
      </c>
      <c r="U179" s="319">
        <f t="shared" si="75"/>
        <v>1000000000</v>
      </c>
      <c r="V179" s="319">
        <f t="shared" si="76"/>
        <v>101168393.0625</v>
      </c>
      <c r="X179" s="345">
        <f t="shared" si="70"/>
        <v>38.368601597039181</v>
      </c>
      <c r="Y179" s="346">
        <f t="shared" si="71"/>
        <v>-30.497011908743861</v>
      </c>
      <c r="AA179" s="345">
        <f t="shared" si="72"/>
        <v>35.108310294397675</v>
      </c>
      <c r="AB179" s="346">
        <f t="shared" si="73"/>
        <v>-86.968811805617534</v>
      </c>
      <c r="AD179">
        <f t="shared" si="77"/>
        <v>0</v>
      </c>
      <c r="AE179">
        <f t="shared" si="80"/>
        <v>0</v>
      </c>
    </row>
    <row r="180" spans="1:31" x14ac:dyDescent="0.2">
      <c r="A180" s="347">
        <v>10116.5</v>
      </c>
      <c r="B180" s="364">
        <f t="shared" si="74"/>
        <v>10.1165</v>
      </c>
      <c r="C180" s="337">
        <f t="shared" si="53"/>
        <v>20.102312106932494</v>
      </c>
      <c r="D180" s="338">
        <f t="shared" si="54"/>
        <v>1.5210302655185624</v>
      </c>
      <c r="E180" s="338">
        <f t="shared" si="55"/>
        <v>1.0001163556642048</v>
      </c>
      <c r="F180" s="339">
        <f t="shared" si="56"/>
        <v>1.5254139315235673E-2</v>
      </c>
      <c r="G180" s="338">
        <f t="shared" si="57"/>
        <v>1</v>
      </c>
      <c r="H180" s="339">
        <f t="shared" si="58"/>
        <v>0</v>
      </c>
      <c r="I180" s="337">
        <f t="shared" si="59"/>
        <v>1913.8051418160867</v>
      </c>
      <c r="J180" s="340">
        <f t="shared" si="60"/>
        <v>1.5702738075354095</v>
      </c>
      <c r="K180" s="348">
        <f t="shared" si="81"/>
        <v>2.0630175150854808</v>
      </c>
      <c r="L180" s="349">
        <f t="shared" si="82"/>
        <v>1.0647454667256202</v>
      </c>
      <c r="M180" s="337">
        <f t="shared" si="63"/>
        <v>1.0002986479859219</v>
      </c>
      <c r="N180" s="340">
        <f t="shared" si="64"/>
        <v>2.4436598754422129E-2</v>
      </c>
      <c r="O180" s="341">
        <f t="shared" si="65"/>
        <v>0.99997437517272802</v>
      </c>
      <c r="P180" s="342">
        <f t="shared" si="66"/>
        <v>1.2387226643953966E-2</v>
      </c>
      <c r="Q180" s="343">
        <f t="shared" si="67"/>
        <v>16.616979804570679</v>
      </c>
      <c r="R180" s="344">
        <f t="shared" si="68"/>
        <v>-117.34910719060552</v>
      </c>
      <c r="S180" s="346">
        <f t="shared" si="69"/>
        <v>62.650892809394477</v>
      </c>
      <c r="U180" s="319">
        <f t="shared" si="75"/>
        <v>1000000000</v>
      </c>
      <c r="V180" s="319">
        <f t="shared" si="76"/>
        <v>102343572.25</v>
      </c>
      <c r="X180" s="345">
        <f t="shared" si="70"/>
        <v>38.356734726403744</v>
      </c>
      <c r="Y180" s="346">
        <f t="shared" si="71"/>
        <v>-30.364754361631846</v>
      </c>
      <c r="AA180" s="345">
        <f t="shared" si="72"/>
        <v>35.0582920910837</v>
      </c>
      <c r="AB180" s="346">
        <f t="shared" si="73"/>
        <v>-86.984352828973698</v>
      </c>
      <c r="AD180">
        <f t="shared" si="77"/>
        <v>0</v>
      </c>
      <c r="AE180">
        <f t="shared" si="80"/>
        <v>0</v>
      </c>
    </row>
    <row r="181" spans="1:31" x14ac:dyDescent="0.2">
      <c r="A181" s="347">
        <v>10174.75</v>
      </c>
      <c r="B181" s="364">
        <f t="shared" si="74"/>
        <v>10.17475</v>
      </c>
      <c r="C181" s="337">
        <f t="shared" si="53"/>
        <v>20.217774003608845</v>
      </c>
      <c r="D181" s="338">
        <f t="shared" si="54"/>
        <v>1.521314707889394</v>
      </c>
      <c r="E181" s="338">
        <f t="shared" si="55"/>
        <v>1.0001176993760121</v>
      </c>
      <c r="F181" s="339">
        <f t="shared" si="56"/>
        <v>1.5341957690306595E-2</v>
      </c>
      <c r="G181" s="338">
        <f t="shared" si="57"/>
        <v>1</v>
      </c>
      <c r="H181" s="339">
        <f t="shared" si="58"/>
        <v>0</v>
      </c>
      <c r="I181" s="337">
        <f t="shared" si="59"/>
        <v>1924.8246761571302</v>
      </c>
      <c r="J181" s="340">
        <f t="shared" si="60"/>
        <v>1.5702767989348416</v>
      </c>
      <c r="K181" s="348">
        <f t="shared" si="81"/>
        <v>2.0721113070853265</v>
      </c>
      <c r="L181" s="349">
        <f t="shared" si="82"/>
        <v>1.06717596337079</v>
      </c>
      <c r="M181" s="337">
        <f t="shared" si="63"/>
        <v>1.0003020965489287</v>
      </c>
      <c r="N181" s="340">
        <f t="shared" si="64"/>
        <v>2.4577246248983126E-2</v>
      </c>
      <c r="O181" s="341">
        <f t="shared" si="65"/>
        <v>0.99997407928909676</v>
      </c>
      <c r="P181" s="342">
        <f t="shared" si="66"/>
        <v>1.2458558673297924E-2</v>
      </c>
      <c r="Q181" s="343">
        <f t="shared" si="67"/>
        <v>16.555551673887031</v>
      </c>
      <c r="R181" s="344">
        <f t="shared" si="68"/>
        <v>-117.23343264231778</v>
      </c>
      <c r="S181" s="346">
        <f t="shared" si="69"/>
        <v>62.76656735768222</v>
      </c>
      <c r="U181" s="319">
        <f t="shared" si="75"/>
        <v>1000000000</v>
      </c>
      <c r="V181" s="319">
        <f t="shared" si="76"/>
        <v>103525537.5625</v>
      </c>
      <c r="X181" s="345">
        <f t="shared" si="70"/>
        <v>38.345038878068223</v>
      </c>
      <c r="Y181" s="346">
        <f t="shared" si="71"/>
        <v>-30.233727063992916</v>
      </c>
      <c r="AA181" s="345">
        <f t="shared" si="72"/>
        <v>35.008559808735569</v>
      </c>
      <c r="AB181" s="346">
        <f t="shared" si="73"/>
        <v>-86.999705578324836</v>
      </c>
      <c r="AD181">
        <f t="shared" si="77"/>
        <v>0</v>
      </c>
      <c r="AE181">
        <f t="shared" si="80"/>
        <v>0</v>
      </c>
    </row>
    <row r="182" spans="1:31" x14ac:dyDescent="0.2">
      <c r="A182" s="347">
        <v>10233</v>
      </c>
      <c r="B182" s="364">
        <f t="shared" si="74"/>
        <v>10.233000000000001</v>
      </c>
      <c r="C182" s="337">
        <f t="shared" si="53"/>
        <v>20.333237517476544</v>
      </c>
      <c r="D182" s="338">
        <f t="shared" si="54"/>
        <v>1.521595919836495</v>
      </c>
      <c r="E182" s="338">
        <f t="shared" si="55"/>
        <v>1.0001190508007736</v>
      </c>
      <c r="F182" s="339">
        <f t="shared" si="56"/>
        <v>1.5429775828723177E-2</v>
      </c>
      <c r="G182" s="338">
        <f t="shared" si="57"/>
        <v>1</v>
      </c>
      <c r="H182" s="339">
        <f t="shared" si="58"/>
        <v>0</v>
      </c>
      <c r="I182" s="337">
        <f t="shared" si="59"/>
        <v>1935.8442105152017</v>
      </c>
      <c r="J182" s="340">
        <f t="shared" si="60"/>
        <v>1.5702797562779911</v>
      </c>
      <c r="K182" s="348">
        <f t="shared" si="81"/>
        <v>2.0812172326855309</v>
      </c>
      <c r="L182" s="349">
        <f t="shared" si="82"/>
        <v>1.0695852058970539</v>
      </c>
      <c r="M182" s="337">
        <f t="shared" si="63"/>
        <v>1.0003055648994927</v>
      </c>
      <c r="N182" s="340">
        <f t="shared" si="64"/>
        <v>2.4717892770994732E-2</v>
      </c>
      <c r="O182" s="341">
        <f t="shared" si="65"/>
        <v>0.99997378170800255</v>
      </c>
      <c r="P182" s="342">
        <f t="shared" si="66"/>
        <v>1.25298908295214E-2</v>
      </c>
      <c r="Q182" s="343">
        <f t="shared" si="67"/>
        <v>16.494574083033644</v>
      </c>
      <c r="R182" s="344">
        <f t="shared" si="68"/>
        <v>-117.11878878952068</v>
      </c>
      <c r="S182" s="346">
        <f t="shared" si="69"/>
        <v>62.881211210479321</v>
      </c>
      <c r="U182" s="319">
        <f t="shared" si="75"/>
        <v>1000000000</v>
      </c>
      <c r="V182" s="319">
        <f t="shared" si="76"/>
        <v>104714289</v>
      </c>
      <c r="X182" s="345">
        <f t="shared" si="70"/>
        <v>38.333510888123833</v>
      </c>
      <c r="Y182" s="346">
        <f t="shared" si="71"/>
        <v>-30.103915530661734</v>
      </c>
      <c r="AA182" s="345">
        <f t="shared" si="72"/>
        <v>34.959110207826576</v>
      </c>
      <c r="AB182" s="346">
        <f t="shared" si="73"/>
        <v>-87.014873258858927</v>
      </c>
      <c r="AD182">
        <f t="shared" si="77"/>
        <v>0</v>
      </c>
      <c r="AE182">
        <f t="shared" si="80"/>
        <v>0</v>
      </c>
    </row>
    <row r="183" spans="1:31" x14ac:dyDescent="0.2">
      <c r="A183" s="347">
        <v>10292.5</v>
      </c>
      <c r="B183" s="364">
        <f t="shared" si="74"/>
        <v>10.2925</v>
      </c>
      <c r="C183" s="337">
        <f t="shared" si="53"/>
        <v>20.451180430290432</v>
      </c>
      <c r="D183" s="338">
        <f t="shared" si="54"/>
        <v>1.5218798880707378</v>
      </c>
      <c r="E183" s="338">
        <f t="shared" si="55"/>
        <v>1.0001204391890348</v>
      </c>
      <c r="F183" s="339">
        <f t="shared" si="56"/>
        <v>1.5519478230813955E-2</v>
      </c>
      <c r="G183" s="338">
        <f t="shared" si="57"/>
        <v>1</v>
      </c>
      <c r="H183" s="339">
        <f t="shared" si="58"/>
        <v>0</v>
      </c>
      <c r="I183" s="337">
        <f t="shared" si="59"/>
        <v>1947.1002155849319</v>
      </c>
      <c r="J183" s="340">
        <f t="shared" si="60"/>
        <v>1.5702827425243195</v>
      </c>
      <c r="K183" s="348">
        <f t="shared" si="81"/>
        <v>2.0905309265084049</v>
      </c>
      <c r="L183" s="349">
        <f t="shared" si="82"/>
        <v>1.0720244656541997</v>
      </c>
      <c r="M183" s="337">
        <f t="shared" si="63"/>
        <v>1.000309128107018</v>
      </c>
      <c r="N183" s="340">
        <f t="shared" si="64"/>
        <v>2.4861556448860862E-2</v>
      </c>
      <c r="O183" s="341">
        <f t="shared" si="65"/>
        <v>0.99997347598857877</v>
      </c>
      <c r="P183" s="342">
        <f t="shared" si="66"/>
        <v>1.2602753850459126E-2</v>
      </c>
      <c r="Q183" s="343">
        <f t="shared" si="67"/>
        <v>16.432746578199577</v>
      </c>
      <c r="R183" s="344">
        <f t="shared" si="68"/>
        <v>-117.00273727775796</v>
      </c>
      <c r="S183" s="346">
        <f t="shared" si="69"/>
        <v>62.997262722242041</v>
      </c>
      <c r="U183" s="319">
        <f t="shared" si="75"/>
        <v>1000000000</v>
      </c>
      <c r="V183" s="319">
        <f t="shared" si="76"/>
        <v>105935556.25</v>
      </c>
      <c r="X183" s="345">
        <f t="shared" si="70"/>
        <v>38.321905600090666</v>
      </c>
      <c r="Y183" s="346">
        <f t="shared" si="71"/>
        <v>-29.972558663013327</v>
      </c>
      <c r="AA183" s="345">
        <f t="shared" si="72"/>
        <v>34.908887991025665</v>
      </c>
      <c r="AB183" s="346">
        <f t="shared" si="73"/>
        <v>-87.030178614744628</v>
      </c>
      <c r="AD183">
        <f t="shared" si="77"/>
        <v>0</v>
      </c>
      <c r="AE183">
        <f t="shared" si="80"/>
        <v>0</v>
      </c>
    </row>
    <row r="184" spans="1:31" x14ac:dyDescent="0.2">
      <c r="A184" s="347">
        <v>10352</v>
      </c>
      <c r="B184" s="364">
        <f t="shared" si="74"/>
        <v>10.352</v>
      </c>
      <c r="C184" s="337">
        <f t="shared" si="53"/>
        <v>20.569124973333391</v>
      </c>
      <c r="D184" s="338">
        <f t="shared" si="54"/>
        <v>1.5221605997470971</v>
      </c>
      <c r="E184" s="338">
        <f t="shared" si="55"/>
        <v>1.0001218356247634</v>
      </c>
      <c r="F184" s="339">
        <f t="shared" si="56"/>
        <v>1.5609180383129761E-2</v>
      </c>
      <c r="G184" s="338">
        <f t="shared" si="57"/>
        <v>1</v>
      </c>
      <c r="H184" s="339">
        <f t="shared" si="58"/>
        <v>0</v>
      </c>
      <c r="I184" s="337">
        <f t="shared" si="59"/>
        <v>1958.3562206718266</v>
      </c>
      <c r="J184" s="340">
        <f t="shared" si="60"/>
        <v>1.5702856944426709</v>
      </c>
      <c r="K184" s="348">
        <f t="shared" si="81"/>
        <v>2.0998569485820973</v>
      </c>
      <c r="L184" s="349">
        <f t="shared" si="82"/>
        <v>1.0744420728897865</v>
      </c>
      <c r="M184" s="337">
        <f t="shared" si="63"/>
        <v>1.0003127119600284</v>
      </c>
      <c r="N184" s="340">
        <f t="shared" si="64"/>
        <v>2.5005219100274968E-2</v>
      </c>
      <c r="O184" s="341">
        <f t="shared" si="65"/>
        <v>0.99997316849810591</v>
      </c>
      <c r="P184" s="342">
        <f t="shared" si="66"/>
        <v>1.2675617005312206E-2</v>
      </c>
      <c r="Q184" s="343">
        <f t="shared" si="67"/>
        <v>16.371376046060284</v>
      </c>
      <c r="R184" s="344">
        <f t="shared" si="68"/>
        <v>-116.88773777339942</v>
      </c>
      <c r="S184" s="346">
        <f t="shared" si="69"/>
        <v>63.112262226600578</v>
      </c>
      <c r="U184" s="319">
        <f t="shared" si="75"/>
        <v>1000000000</v>
      </c>
      <c r="V184" s="319">
        <f t="shared" si="76"/>
        <v>107163904</v>
      </c>
      <c r="X184" s="345">
        <f t="shared" si="70"/>
        <v>38.310469000592292</v>
      </c>
      <c r="Y184" s="346">
        <f t="shared" si="71"/>
        <v>-29.842440367807921</v>
      </c>
      <c r="AA184" s="345">
        <f t="shared" si="72"/>
        <v>34.858954058384754</v>
      </c>
      <c r="AB184" s="346">
        <f t="shared" si="73"/>
        <v>-87.045297405591484</v>
      </c>
      <c r="AD184">
        <f t="shared" si="77"/>
        <v>0</v>
      </c>
      <c r="AE184">
        <f t="shared" si="80"/>
        <v>0</v>
      </c>
    </row>
    <row r="185" spans="1:31" x14ac:dyDescent="0.2">
      <c r="A185" s="347">
        <v>10411.5</v>
      </c>
      <c r="B185" s="364">
        <f t="shared" si="74"/>
        <v>10.4115</v>
      </c>
      <c r="C185" s="337">
        <f t="shared" si="53"/>
        <v>20.687071118721828</v>
      </c>
      <c r="D185" s="338">
        <f t="shared" si="54"/>
        <v>1.5224381105221825</v>
      </c>
      <c r="E185" s="338">
        <f t="shared" si="55"/>
        <v>1.0001232401079263</v>
      </c>
      <c r="F185" s="339">
        <f t="shared" si="56"/>
        <v>1.5698882284228072E-2</v>
      </c>
      <c r="G185" s="338">
        <f t="shared" si="57"/>
        <v>1</v>
      </c>
      <c r="H185" s="339">
        <f t="shared" si="58"/>
        <v>0</v>
      </c>
      <c r="I185" s="337">
        <f t="shared" si="59"/>
        <v>1969.6122257755906</v>
      </c>
      <c r="J185" s="340">
        <f t="shared" si="60"/>
        <v>1.5702886126215809</v>
      </c>
      <c r="K185" s="348">
        <f t="shared" si="81"/>
        <v>2.1091951353747471</v>
      </c>
      <c r="L185" s="349">
        <f t="shared" si="82"/>
        <v>1.0768382867453141</v>
      </c>
      <c r="M185" s="337">
        <f t="shared" si="63"/>
        <v>1.000316316458302</v>
      </c>
      <c r="N185" s="340">
        <f t="shared" si="64"/>
        <v>2.5148880719318017E-2</v>
      </c>
      <c r="O185" s="341">
        <f t="shared" si="65"/>
        <v>0.9999728592366085</v>
      </c>
      <c r="P185" s="342">
        <f t="shared" si="66"/>
        <v>1.2748480294854739E-2</v>
      </c>
      <c r="Q185" s="343">
        <f t="shared" si="67"/>
        <v>16.310456055402195</v>
      </c>
      <c r="R185" s="344">
        <f t="shared" si="68"/>
        <v>-116.77377865112808</v>
      </c>
      <c r="S185" s="346">
        <f t="shared" si="69"/>
        <v>63.226221348871917</v>
      </c>
      <c r="U185" s="319">
        <f t="shared" si="75"/>
        <v>1000000000</v>
      </c>
      <c r="V185" s="319">
        <f t="shared" si="76"/>
        <v>108399332.25</v>
      </c>
      <c r="X185" s="345">
        <f t="shared" si="70"/>
        <v>38.299197938437224</v>
      </c>
      <c r="Y185" s="346">
        <f t="shared" si="71"/>
        <v>-29.713545830712732</v>
      </c>
      <c r="AA185" s="345">
        <f t="shared" si="72"/>
        <v>34.809305129881729</v>
      </c>
      <c r="AB185" s="346">
        <f t="shared" si="73"/>
        <v>-87.060232820415337</v>
      </c>
      <c r="AD185">
        <f t="shared" si="77"/>
        <v>0</v>
      </c>
      <c r="AE185">
        <f t="shared" si="80"/>
        <v>0</v>
      </c>
    </row>
    <row r="186" spans="1:31" x14ac:dyDescent="0.2">
      <c r="A186" s="347">
        <v>10471</v>
      </c>
      <c r="B186" s="364">
        <f t="shared" si="74"/>
        <v>10.471</v>
      </c>
      <c r="C186" s="337">
        <f t="shared" si="53"/>
        <v>20.805018839204081</v>
      </c>
      <c r="D186" s="338">
        <f t="shared" si="54"/>
        <v>1.5227124747924887</v>
      </c>
      <c r="E186" s="338">
        <f t="shared" si="55"/>
        <v>1.000124652638489</v>
      </c>
      <c r="F186" s="339">
        <f t="shared" si="56"/>
        <v>1.5788583932666397E-2</v>
      </c>
      <c r="G186" s="338">
        <f t="shared" si="57"/>
        <v>1</v>
      </c>
      <c r="H186" s="339">
        <f t="shared" si="58"/>
        <v>0</v>
      </c>
      <c r="I186" s="337">
        <f t="shared" si="59"/>
        <v>1980.8682308959369</v>
      </c>
      <c r="J186" s="340">
        <f t="shared" si="60"/>
        <v>1.5702914976362083</v>
      </c>
      <c r="K186" s="348">
        <f t="shared" si="81"/>
        <v>2.1185453260263363</v>
      </c>
      <c r="L186" s="349">
        <f t="shared" si="82"/>
        <v>1.0792133627790554</v>
      </c>
      <c r="M186" s="337">
        <f t="shared" si="63"/>
        <v>1.0003199416016157</v>
      </c>
      <c r="N186" s="340">
        <f t="shared" si="64"/>
        <v>2.5292541300071237E-2</v>
      </c>
      <c r="O186" s="341">
        <f t="shared" si="65"/>
        <v>0.9999725482041113</v>
      </c>
      <c r="P186" s="342">
        <f t="shared" si="66"/>
        <v>1.2821343719860823E-2</v>
      </c>
      <c r="Q186" s="343">
        <f t="shared" si="67"/>
        <v>16.249980301142557</v>
      </c>
      <c r="R186" s="344">
        <f t="shared" si="68"/>
        <v>-116.6608484179651</v>
      </c>
      <c r="S186" s="346">
        <f t="shared" si="69"/>
        <v>63.339151582034901</v>
      </c>
      <c r="U186" s="319">
        <f t="shared" si="75"/>
        <v>1000000000</v>
      </c>
      <c r="V186" s="319">
        <f t="shared" si="76"/>
        <v>109641841</v>
      </c>
      <c r="X186" s="345">
        <f t="shared" si="70"/>
        <v>38.288089333018306</v>
      </c>
      <c r="Y186" s="346">
        <f t="shared" si="71"/>
        <v>-29.585860441932326</v>
      </c>
      <c r="AA186" s="345">
        <f t="shared" si="72"/>
        <v>34.759937981041006</v>
      </c>
      <c r="AB186" s="346">
        <f t="shared" si="73"/>
        <v>-87.074987976032773</v>
      </c>
      <c r="AD186">
        <f t="shared" si="77"/>
        <v>0</v>
      </c>
      <c r="AE186">
        <f t="shared" si="80"/>
        <v>0</v>
      </c>
    </row>
    <row r="187" spans="1:31" x14ac:dyDescent="0.2">
      <c r="A187" s="347">
        <v>10532</v>
      </c>
      <c r="B187" s="364">
        <f t="shared" si="74"/>
        <v>10.532</v>
      </c>
      <c r="C187" s="337">
        <f t="shared" si="53"/>
        <v>20.925941638906252</v>
      </c>
      <c r="D187" s="338">
        <f t="shared" si="54"/>
        <v>1.5229905449743466</v>
      </c>
      <c r="E187" s="338">
        <f t="shared" si="55"/>
        <v>1.0001261091333011</v>
      </c>
      <c r="F187" s="339">
        <f t="shared" si="56"/>
        <v>1.5880546703395088E-2</v>
      </c>
      <c r="G187" s="338">
        <f t="shared" si="57"/>
        <v>1</v>
      </c>
      <c r="H187" s="339">
        <f t="shared" si="58"/>
        <v>0</v>
      </c>
      <c r="I187" s="337">
        <f t="shared" si="59"/>
        <v>1992.4080008681701</v>
      </c>
      <c r="J187" s="340">
        <f t="shared" si="60"/>
        <v>1.5702944215417813</v>
      </c>
      <c r="K187" s="348">
        <f t="shared" si="81"/>
        <v>2.1281435317357564</v>
      </c>
      <c r="L187" s="349">
        <f t="shared" si="82"/>
        <v>1.081626634620267</v>
      </c>
      <c r="M187" s="337">
        <f t="shared" si="63"/>
        <v>1.0003236795671575</v>
      </c>
      <c r="N187" s="340">
        <f t="shared" si="64"/>
        <v>2.5439822492058888E-2</v>
      </c>
      <c r="O187" s="341">
        <f t="shared" si="65"/>
        <v>0.99997222749195147</v>
      </c>
      <c r="P187" s="342">
        <f t="shared" si="66"/>
        <v>1.289604417937382E-2</v>
      </c>
      <c r="Q187" s="343">
        <f t="shared" si="67"/>
        <v>16.188434653563551</v>
      </c>
      <c r="R187" s="344">
        <f t="shared" si="68"/>
        <v>-116.54612743491801</v>
      </c>
      <c r="S187" s="346">
        <f t="shared" si="69"/>
        <v>63.453872565081994</v>
      </c>
      <c r="U187" s="319">
        <f t="shared" si="75"/>
        <v>1000000000</v>
      </c>
      <c r="V187" s="319">
        <f t="shared" si="76"/>
        <v>110923024</v>
      </c>
      <c r="X187" s="345">
        <f t="shared" si="70"/>
        <v>38.276866177878091</v>
      </c>
      <c r="Y187" s="346">
        <f t="shared" si="71"/>
        <v>-29.456196268616548</v>
      </c>
      <c r="AA187" s="345">
        <f t="shared" si="72"/>
        <v>34.709615488602225</v>
      </c>
      <c r="AB187" s="346">
        <f t="shared" si="73"/>
        <v>-87.089931166301426</v>
      </c>
      <c r="AD187">
        <f t="shared" si="77"/>
        <v>0</v>
      </c>
      <c r="AE187">
        <f t="shared" si="80"/>
        <v>0</v>
      </c>
    </row>
    <row r="188" spans="1:31" x14ac:dyDescent="0.2">
      <c r="A188" s="347">
        <v>10593</v>
      </c>
      <c r="B188" s="364">
        <f t="shared" si="74"/>
        <v>10.593</v>
      </c>
      <c r="C188" s="337">
        <f t="shared" si="53"/>
        <v>21.046866038072693</v>
      </c>
      <c r="D188" s="338">
        <f t="shared" si="54"/>
        <v>1.5232654198825635</v>
      </c>
      <c r="E188" s="338">
        <f t="shared" si="55"/>
        <v>1.0001275740863063</v>
      </c>
      <c r="F188" s="339">
        <f t="shared" si="56"/>
        <v>1.5972509205493608E-2</v>
      </c>
      <c r="G188" s="338">
        <f t="shared" si="57"/>
        <v>1</v>
      </c>
      <c r="H188" s="339">
        <f t="shared" si="58"/>
        <v>0</v>
      </c>
      <c r="I188" s="337">
        <f t="shared" si="59"/>
        <v>2003.9477708572404</v>
      </c>
      <c r="J188" s="340">
        <f t="shared" si="60"/>
        <v>1.5702973117726264</v>
      </c>
      <c r="K188" s="348">
        <f t="shared" si="81"/>
        <v>2.1377540201629084</v>
      </c>
      <c r="L188" s="349">
        <f t="shared" si="82"/>
        <v>1.0840182220726247</v>
      </c>
      <c r="M188" s="337">
        <f t="shared" si="63"/>
        <v>1.0003274392313075</v>
      </c>
      <c r="N188" s="340">
        <f t="shared" si="64"/>
        <v>2.5587102580148156E-2</v>
      </c>
      <c r="O188" s="341">
        <f t="shared" si="65"/>
        <v>0.99997190491842469</v>
      </c>
      <c r="P188" s="342">
        <f t="shared" si="66"/>
        <v>1.2970744782914302E-2</v>
      </c>
      <c r="Q188" s="343">
        <f t="shared" si="67"/>
        <v>16.127342895611704</v>
      </c>
      <c r="R188" s="344">
        <f t="shared" si="68"/>
        <v>-116.43246383111577</v>
      </c>
      <c r="S188" s="346">
        <f t="shared" si="69"/>
        <v>63.567536168884232</v>
      </c>
      <c r="U188" s="319">
        <f t="shared" si="75"/>
        <v>1000000000</v>
      </c>
      <c r="V188" s="319">
        <f t="shared" si="76"/>
        <v>112211649</v>
      </c>
      <c r="X188" s="345">
        <f t="shared" si="70"/>
        <v>38.265807436146005</v>
      </c>
      <c r="Y188" s="346">
        <f t="shared" si="71"/>
        <v>-29.327772526596338</v>
      </c>
      <c r="AA188" s="345">
        <f t="shared" si="72"/>
        <v>34.659582472382461</v>
      </c>
      <c r="AB188" s="346">
        <f t="shared" si="73"/>
        <v>-87.10469130451942</v>
      </c>
      <c r="AD188">
        <f t="shared" si="77"/>
        <v>0</v>
      </c>
      <c r="AE188">
        <f t="shared" si="80"/>
        <v>0</v>
      </c>
    </row>
    <row r="189" spans="1:31" x14ac:dyDescent="0.2">
      <c r="A189" s="347">
        <v>10654</v>
      </c>
      <c r="B189" s="364">
        <f t="shared" si="74"/>
        <v>10.654</v>
      </c>
      <c r="C189" s="337">
        <f t="shared" si="53"/>
        <v>21.167792009291809</v>
      </c>
      <c r="D189" s="338">
        <f t="shared" si="54"/>
        <v>1.5235371542364904</v>
      </c>
      <c r="E189" s="338">
        <f t="shared" si="55"/>
        <v>1.0001290474974673</v>
      </c>
      <c r="F189" s="339">
        <f t="shared" si="56"/>
        <v>1.606447143740768E-2</v>
      </c>
      <c r="G189" s="338">
        <f t="shared" si="57"/>
        <v>1</v>
      </c>
      <c r="H189" s="339">
        <f t="shared" si="58"/>
        <v>0</v>
      </c>
      <c r="I189" s="337">
        <f t="shared" si="59"/>
        <v>2015.4875408628593</v>
      </c>
      <c r="J189" s="340">
        <f t="shared" si="60"/>
        <v>1.5703001689071625</v>
      </c>
      <c r="K189" s="348">
        <f t="shared" si="81"/>
        <v>2.1473766263955305</v>
      </c>
      <c r="L189" s="349">
        <f t="shared" si="82"/>
        <v>1.0863883891025861</v>
      </c>
      <c r="M189" s="337">
        <f t="shared" si="63"/>
        <v>1.0003312205938211</v>
      </c>
      <c r="N189" s="340">
        <f t="shared" si="64"/>
        <v>2.5734381557962094E-2</v>
      </c>
      <c r="O189" s="341">
        <f t="shared" si="65"/>
        <v>0.99997158048355816</v>
      </c>
      <c r="P189" s="342">
        <f t="shared" si="66"/>
        <v>1.3045445531316396E-2</v>
      </c>
      <c r="Q189" s="343">
        <f t="shared" si="67"/>
        <v>16.066698626197478</v>
      </c>
      <c r="R189" s="344">
        <f t="shared" si="68"/>
        <v>-116.31984565049471</v>
      </c>
      <c r="S189" s="346">
        <f t="shared" si="69"/>
        <v>63.680154349505287</v>
      </c>
      <c r="U189" s="319">
        <f t="shared" si="75"/>
        <v>1000000000</v>
      </c>
      <c r="V189" s="319">
        <f t="shared" si="76"/>
        <v>113507716</v>
      </c>
      <c r="X189" s="345">
        <f t="shared" si="70"/>
        <v>38.254910007525964</v>
      </c>
      <c r="Y189" s="346">
        <f t="shared" si="71"/>
        <v>-29.2005741244833</v>
      </c>
      <c r="AA189" s="345">
        <f t="shared" si="72"/>
        <v>34.609835631588275</v>
      </c>
      <c r="AB189" s="346">
        <f t="shared" si="73"/>
        <v>-87.119271526011445</v>
      </c>
      <c r="AD189">
        <f t="shared" si="77"/>
        <v>0</v>
      </c>
      <c r="AE189">
        <f t="shared" si="80"/>
        <v>0</v>
      </c>
    </row>
    <row r="190" spans="1:31" x14ac:dyDescent="0.2">
      <c r="A190" s="347">
        <v>10715</v>
      </c>
      <c r="B190" s="364">
        <f t="shared" si="74"/>
        <v>10.715</v>
      </c>
      <c r="C190" s="337">
        <f t="shared" si="53"/>
        <v>21.288719525774489</v>
      </c>
      <c r="D190" s="338">
        <f t="shared" si="54"/>
        <v>1.5238058015140556</v>
      </c>
      <c r="E190" s="338">
        <f t="shared" si="55"/>
        <v>1.0001305293667468</v>
      </c>
      <c r="F190" s="339">
        <f t="shared" si="56"/>
        <v>1.615643339758303E-2</v>
      </c>
      <c r="G190" s="338">
        <f t="shared" si="57"/>
        <v>1</v>
      </c>
      <c r="H190" s="339">
        <f t="shared" si="58"/>
        <v>0</v>
      </c>
      <c r="I190" s="337">
        <f t="shared" si="59"/>
        <v>2027.0273108847437</v>
      </c>
      <c r="J190" s="340">
        <f t="shared" si="60"/>
        <v>1.570302993510637</v>
      </c>
      <c r="K190" s="348">
        <f t="shared" si="81"/>
        <v>2.1570111882580156</v>
      </c>
      <c r="L190" s="349">
        <f t="shared" si="82"/>
        <v>1.0887373959320412</v>
      </c>
      <c r="M190" s="337">
        <f t="shared" si="63"/>
        <v>1.0003350236544524</v>
      </c>
      <c r="N190" s="340">
        <f t="shared" si="64"/>
        <v>2.5881659419124032E-2</v>
      </c>
      <c r="O190" s="341">
        <f t="shared" si="65"/>
        <v>0.99997125418737898</v>
      </c>
      <c r="P190" s="342">
        <f t="shared" si="66"/>
        <v>1.3120146425414226E-2</v>
      </c>
      <c r="Q190" s="343">
        <f t="shared" si="67"/>
        <v>16.006495570426338</v>
      </c>
      <c r="R190" s="344">
        <f t="shared" si="68"/>
        <v>-116.20826107965627</v>
      </c>
      <c r="S190" s="346">
        <f t="shared" si="69"/>
        <v>63.791738920343732</v>
      </c>
      <c r="U190" s="319">
        <f t="shared" si="75"/>
        <v>1000000000</v>
      </c>
      <c r="V190" s="319">
        <f t="shared" si="76"/>
        <v>114811225</v>
      </c>
      <c r="X190" s="345">
        <f t="shared" si="70"/>
        <v>38.244170861890083</v>
      </c>
      <c r="Y190" s="346">
        <f t="shared" si="71"/>
        <v>-29.074586184682328</v>
      </c>
      <c r="AA190" s="345">
        <f t="shared" si="72"/>
        <v>34.560371721453016</v>
      </c>
      <c r="AB190" s="346">
        <f t="shared" si="73"/>
        <v>-87.133674894973922</v>
      </c>
      <c r="AD190">
        <f t="shared" si="77"/>
        <v>0</v>
      </c>
      <c r="AE190">
        <f t="shared" si="80"/>
        <v>0</v>
      </c>
    </row>
    <row r="191" spans="1:31" x14ac:dyDescent="0.2">
      <c r="A191" s="347">
        <v>10777.5</v>
      </c>
      <c r="B191" s="364">
        <f t="shared" si="74"/>
        <v>10.7775</v>
      </c>
      <c r="C191" s="337">
        <f t="shared" si="53"/>
        <v>21.412622245063101</v>
      </c>
      <c r="D191" s="338">
        <f t="shared" si="54"/>
        <v>1.5240779076470901</v>
      </c>
      <c r="E191" s="338">
        <f t="shared" si="55"/>
        <v>1.0001320564480511</v>
      </c>
      <c r="F191" s="339">
        <f t="shared" si="56"/>
        <v>1.625065643396556E-2</v>
      </c>
      <c r="G191" s="338">
        <f t="shared" si="57"/>
        <v>1</v>
      </c>
      <c r="H191" s="339">
        <f t="shared" si="58"/>
        <v>0</v>
      </c>
      <c r="I191" s="337">
        <f t="shared" si="59"/>
        <v>2038.8508457598132</v>
      </c>
      <c r="J191" s="340">
        <f t="shared" si="60"/>
        <v>1.570305854408369</v>
      </c>
      <c r="K191" s="348">
        <f t="shared" si="81"/>
        <v>2.1668948990462833</v>
      </c>
      <c r="L191" s="349">
        <f t="shared" si="82"/>
        <v>1.0911224863548412</v>
      </c>
      <c r="M191" s="337">
        <f t="shared" si="63"/>
        <v>1.0003389427377272</v>
      </c>
      <c r="N191" s="340">
        <f t="shared" si="64"/>
        <v>2.6032557702190585E-2</v>
      </c>
      <c r="O191" s="341">
        <f t="shared" si="65"/>
        <v>0.99997091793702142</v>
      </c>
      <c r="P191" s="342">
        <f t="shared" si="66"/>
        <v>1.3196684378730013E-2</v>
      </c>
      <c r="Q191" s="343">
        <f t="shared" si="67"/>
        <v>15.945263300871463</v>
      </c>
      <c r="R191" s="344">
        <f t="shared" si="68"/>
        <v>-116.09499246904691</v>
      </c>
      <c r="S191" s="346">
        <f t="shared" si="69"/>
        <v>63.905007530953085</v>
      </c>
      <c r="U191" s="319">
        <f t="shared" si="75"/>
        <v>1000000000</v>
      </c>
      <c r="V191" s="319">
        <f t="shared" si="76"/>
        <v>116154506.25</v>
      </c>
      <c r="X191" s="345">
        <f t="shared" si="70"/>
        <v>38.233328711363292</v>
      </c>
      <c r="Y191" s="346">
        <f t="shared" si="71"/>
        <v>-28.946740321673875</v>
      </c>
      <c r="AA191" s="345">
        <f t="shared" si="72"/>
        <v>34.509981602424929</v>
      </c>
      <c r="AB191" s="346">
        <f t="shared" si="73"/>
        <v>-87.148252147373029</v>
      </c>
      <c r="AD191">
        <f t="shared" si="77"/>
        <v>0</v>
      </c>
      <c r="AE191">
        <f t="shared" si="80"/>
        <v>0</v>
      </c>
    </row>
    <row r="192" spans="1:31" x14ac:dyDescent="0.2">
      <c r="A192" s="347">
        <v>10840</v>
      </c>
      <c r="B192" s="364">
        <f t="shared" si="74"/>
        <v>10.84</v>
      </c>
      <c r="C192" s="337">
        <f t="shared" si="53"/>
        <v>21.536526531537231</v>
      </c>
      <c r="D192" s="338">
        <f t="shared" si="54"/>
        <v>1.5243468828291973</v>
      </c>
      <c r="E192" s="338">
        <f t="shared" si="55"/>
        <v>1.0001335924084813</v>
      </c>
      <c r="F192" s="339">
        <f t="shared" si="56"/>
        <v>1.6344879181777548E-2</v>
      </c>
      <c r="G192" s="338">
        <f t="shared" si="57"/>
        <v>1</v>
      </c>
      <c r="H192" s="339">
        <f t="shared" si="58"/>
        <v>0</v>
      </c>
      <c r="I192" s="337">
        <f t="shared" si="59"/>
        <v>2050.6743806513778</v>
      </c>
      <c r="J192" s="340">
        <f t="shared" si="60"/>
        <v>1.5703086823160519</v>
      </c>
      <c r="K192" s="348">
        <f t="shared" si="81"/>
        <v>2.1767908245753764</v>
      </c>
      <c r="L192" s="349">
        <f t="shared" si="82"/>
        <v>1.0934859043648142</v>
      </c>
      <c r="M192" s="337">
        <f t="shared" si="63"/>
        <v>1.0003428845988327</v>
      </c>
      <c r="N192" s="340">
        <f t="shared" si="64"/>
        <v>2.6183454799460704E-2</v>
      </c>
      <c r="O192" s="341">
        <f t="shared" si="65"/>
        <v>0.99997057973274384</v>
      </c>
      <c r="P192" s="342">
        <f t="shared" si="66"/>
        <v>1.3273222486767832E-2</v>
      </c>
      <c r="Q192" s="343">
        <f t="shared" si="67"/>
        <v>15.884481267113507</v>
      </c>
      <c r="R192" s="344">
        <f t="shared" si="68"/>
        <v>-115.98278427321871</v>
      </c>
      <c r="S192" s="346">
        <f t="shared" si="69"/>
        <v>64.017215726781288</v>
      </c>
      <c r="U192" s="319">
        <f t="shared" si="75"/>
        <v>1000000000</v>
      </c>
      <c r="V192" s="319">
        <f t="shared" si="76"/>
        <v>117505600</v>
      </c>
      <c r="X192" s="345">
        <f t="shared" si="70"/>
        <v>38.222646501722913</v>
      </c>
      <c r="Y192" s="346">
        <f t="shared" si="71"/>
        <v>-28.820134238321984</v>
      </c>
      <c r="AA192" s="345">
        <f t="shared" si="72"/>
        <v>34.459881778307363</v>
      </c>
      <c r="AB192" s="346">
        <f t="shared" si="73"/>
        <v>-87.1626500348967</v>
      </c>
      <c r="AD192">
        <f t="shared" si="77"/>
        <v>0</v>
      </c>
      <c r="AE192">
        <f t="shared" si="80"/>
        <v>0</v>
      </c>
    </row>
    <row r="193" spans="1:31" x14ac:dyDescent="0.2">
      <c r="A193" s="347">
        <v>10902.5</v>
      </c>
      <c r="B193" s="364">
        <f t="shared" si="74"/>
        <v>10.9025</v>
      </c>
      <c r="C193" s="337">
        <f t="shared" si="53"/>
        <v>21.660432358302543</v>
      </c>
      <c r="D193" s="338">
        <f t="shared" si="54"/>
        <v>1.5246127807517735</v>
      </c>
      <c r="E193" s="338">
        <f t="shared" si="55"/>
        <v>1.0001351372479961</v>
      </c>
      <c r="F193" s="339">
        <f t="shared" si="56"/>
        <v>1.6439101639347316E-2</v>
      </c>
      <c r="G193" s="338">
        <f t="shared" si="57"/>
        <v>1</v>
      </c>
      <c r="H193" s="339">
        <f t="shared" si="58"/>
        <v>0</v>
      </c>
      <c r="I193" s="337">
        <f t="shared" si="59"/>
        <v>2062.4979155591536</v>
      </c>
      <c r="J193" s="340">
        <f t="shared" si="60"/>
        <v>1.5703114778010452</v>
      </c>
      <c r="K193" s="348">
        <f t="shared" si="81"/>
        <v>2.1866987990115354</v>
      </c>
      <c r="L193" s="349">
        <f t="shared" si="82"/>
        <v>1.0958279179729402</v>
      </c>
      <c r="M193" s="337">
        <f t="shared" si="63"/>
        <v>1.0003468492375001</v>
      </c>
      <c r="N193" s="340">
        <f t="shared" si="64"/>
        <v>2.6334350704076623E-2</v>
      </c>
      <c r="O193" s="341">
        <f t="shared" si="65"/>
        <v>0.99997023957457609</v>
      </c>
      <c r="P193" s="342">
        <f t="shared" si="66"/>
        <v>1.3349760750424872E-2</v>
      </c>
      <c r="Q193" s="343">
        <f t="shared" si="67"/>
        <v>15.824143112083391</v>
      </c>
      <c r="R193" s="344">
        <f t="shared" si="68"/>
        <v>-115.8716242448256</v>
      </c>
      <c r="S193" s="346">
        <f t="shared" si="69"/>
        <v>64.128375755174403</v>
      </c>
      <c r="U193" s="319">
        <f t="shared" si="75"/>
        <v>1000000000</v>
      </c>
      <c r="V193" s="319">
        <f t="shared" si="76"/>
        <v>118864506.25</v>
      </c>
      <c r="X193" s="345">
        <f t="shared" si="70"/>
        <v>38.212121191105304</v>
      </c>
      <c r="Y193" s="346">
        <f t="shared" si="71"/>
        <v>-28.694752610842993</v>
      </c>
      <c r="AA193" s="345">
        <f t="shared" si="72"/>
        <v>34.410068933894848</v>
      </c>
      <c r="AB193" s="346">
        <f t="shared" si="73"/>
        <v>-87.176871633982586</v>
      </c>
      <c r="AD193">
        <f t="shared" si="77"/>
        <v>0</v>
      </c>
      <c r="AE193">
        <f t="shared" si="80"/>
        <v>0</v>
      </c>
    </row>
    <row r="194" spans="1:31" x14ac:dyDescent="0.2">
      <c r="A194" s="347">
        <v>10965</v>
      </c>
      <c r="B194" s="364">
        <f t="shared" si="74"/>
        <v>10.965</v>
      </c>
      <c r="C194" s="337">
        <f t="shared" si="53"/>
        <v>21.784339699076241</v>
      </c>
      <c r="D194" s="338">
        <f t="shared" si="54"/>
        <v>1.5248756538864119</v>
      </c>
      <c r="E194" s="338">
        <f t="shared" si="55"/>
        <v>1.0001366909665548</v>
      </c>
      <c r="F194" s="339">
        <f t="shared" si="56"/>
        <v>1.6533323805003233E-2</v>
      </c>
      <c r="G194" s="338">
        <f t="shared" si="57"/>
        <v>1</v>
      </c>
      <c r="H194" s="339">
        <f t="shared" si="58"/>
        <v>0</v>
      </c>
      <c r="I194" s="337">
        <f t="shared" si="59"/>
        <v>2074.3214504828638</v>
      </c>
      <c r="J194" s="340">
        <f t="shared" si="60"/>
        <v>1.5703142414177718</v>
      </c>
      <c r="K194" s="348">
        <f t="shared" si="81"/>
        <v>2.1966186593129082</v>
      </c>
      <c r="L194" s="349">
        <f t="shared" si="82"/>
        <v>1.0981487912969596</v>
      </c>
      <c r="M194" s="337">
        <f t="shared" si="63"/>
        <v>1.0003508366534581</v>
      </c>
      <c r="N194" s="340">
        <f t="shared" si="64"/>
        <v>2.6485245409180888E-2</v>
      </c>
      <c r="O194" s="341">
        <f t="shared" si="65"/>
        <v>0.99996989746254783</v>
      </c>
      <c r="P194" s="342">
        <f t="shared" si="66"/>
        <v>1.3426299170598305E-2</v>
      </c>
      <c r="Q194" s="343">
        <f t="shared" si="67"/>
        <v>15.764242604580705</v>
      </c>
      <c r="R194" s="344">
        <f t="shared" si="68"/>
        <v>-115.76150028895695</v>
      </c>
      <c r="S194" s="346">
        <f t="shared" si="69"/>
        <v>64.238499711043048</v>
      </c>
      <c r="U194" s="319">
        <f t="shared" si="75"/>
        <v>1000000000</v>
      </c>
      <c r="V194" s="319">
        <f t="shared" si="76"/>
        <v>120231225</v>
      </c>
      <c r="X194" s="345">
        <f t="shared" si="70"/>
        <v>38.201749807151607</v>
      </c>
      <c r="Y194" s="346">
        <f t="shared" si="71"/>
        <v>-28.570580337778267</v>
      </c>
      <c r="AA194" s="345">
        <f t="shared" si="72"/>
        <v>34.360539810345855</v>
      </c>
      <c r="AB194" s="346">
        <f t="shared" si="73"/>
        <v>-87.190919951178657</v>
      </c>
      <c r="AD194">
        <f t="shared" si="77"/>
        <v>0</v>
      </c>
      <c r="AE194">
        <f t="shared" si="80"/>
        <v>0</v>
      </c>
    </row>
    <row r="195" spans="1:31" x14ac:dyDescent="0.2">
      <c r="A195" s="347">
        <v>11028.75</v>
      </c>
      <c r="B195" s="364">
        <f t="shared" si="74"/>
        <v>11.02875</v>
      </c>
      <c r="C195" s="337">
        <f t="shared" si="53"/>
        <v>21.910726719759136</v>
      </c>
      <c r="D195" s="338">
        <f t="shared" si="54"/>
        <v>1.5251407215284889</v>
      </c>
      <c r="E195" s="338">
        <f t="shared" si="55"/>
        <v>1.0001382849066327</v>
      </c>
      <c r="F195" s="339">
        <f t="shared" si="56"/>
        <v>1.6629430111509035E-2</v>
      </c>
      <c r="G195" s="338">
        <f t="shared" si="57"/>
        <v>1</v>
      </c>
      <c r="H195" s="339">
        <f t="shared" si="58"/>
        <v>0</v>
      </c>
      <c r="I195" s="337">
        <f t="shared" si="59"/>
        <v>2086.3814561211821</v>
      </c>
      <c r="J195" s="340">
        <f t="shared" si="60"/>
        <v>1.5703170280380208</v>
      </c>
      <c r="K195" s="348">
        <f t="shared" si="81"/>
        <v>2.2067489954067034</v>
      </c>
      <c r="L195" s="349">
        <f t="shared" si="82"/>
        <v>1.1004945732774019</v>
      </c>
      <c r="M195" s="337">
        <f t="shared" si="63"/>
        <v>1.000354927282618</v>
      </c>
      <c r="N195" s="340">
        <f t="shared" si="64"/>
        <v>2.6639156765539036E-2</v>
      </c>
      <c r="O195" s="341">
        <f t="shared" si="65"/>
        <v>0.99996954649544334</v>
      </c>
      <c r="P195" s="342">
        <f t="shared" si="66"/>
        <v>1.3504368521348833E-2</v>
      </c>
      <c r="Q195" s="343">
        <f t="shared" si="67"/>
        <v>15.703588617172247</v>
      </c>
      <c r="R195" s="344">
        <f t="shared" si="68"/>
        <v>-115.65022883014689</v>
      </c>
      <c r="S195" s="346">
        <f t="shared" si="69"/>
        <v>64.349771169853113</v>
      </c>
      <c r="U195" s="319">
        <f t="shared" si="75"/>
        <v>1000000000</v>
      </c>
      <c r="V195" s="319">
        <f t="shared" si="76"/>
        <v>121633326.5625</v>
      </c>
      <c r="X195" s="345">
        <f t="shared" si="70"/>
        <v>38.191326558750809</v>
      </c>
      <c r="Y195" s="346">
        <f t="shared" si="71"/>
        <v>-28.445155063215605</v>
      </c>
      <c r="AA195" s="345">
        <f t="shared" si="72"/>
        <v>34.310309071338203</v>
      </c>
      <c r="AB195" s="346">
        <f t="shared" si="73"/>
        <v>-87.205073766931278</v>
      </c>
      <c r="AD195">
        <f t="shared" si="77"/>
        <v>0</v>
      </c>
      <c r="AE195">
        <f t="shared" si="80"/>
        <v>0</v>
      </c>
    </row>
    <row r="196" spans="1:31" x14ac:dyDescent="0.2">
      <c r="A196" s="347">
        <v>11092.5</v>
      </c>
      <c r="B196" s="364">
        <f t="shared" si="74"/>
        <v>11.092499999999999</v>
      </c>
      <c r="C196" s="337">
        <f t="shared" si="53"/>
        <v>22.037115262250101</v>
      </c>
      <c r="D196" s="338">
        <f t="shared" si="54"/>
        <v>1.5254027487261497</v>
      </c>
      <c r="E196" s="338">
        <f t="shared" si="55"/>
        <v>1.0001398880843806</v>
      </c>
      <c r="F196" s="339">
        <f t="shared" si="56"/>
        <v>1.6725536110794633E-2</v>
      </c>
      <c r="G196" s="338">
        <f t="shared" si="57"/>
        <v>1</v>
      </c>
      <c r="H196" s="339">
        <f t="shared" si="58"/>
        <v>0</v>
      </c>
      <c r="I196" s="337">
        <f t="shared" si="59"/>
        <v>2098.441461775516</v>
      </c>
      <c r="J196" s="340">
        <f t="shared" si="60"/>
        <v>1.5703197826281592</v>
      </c>
      <c r="K196" s="348">
        <f t="shared" si="81"/>
        <v>2.2168913635459995</v>
      </c>
      <c r="L196" s="349">
        <f t="shared" si="82"/>
        <v>1.1028189038547211</v>
      </c>
      <c r="M196" s="337">
        <f t="shared" si="63"/>
        <v>1.0003590416086969</v>
      </c>
      <c r="N196" s="340">
        <f t="shared" si="64"/>
        <v>2.6793066859514627E-2</v>
      </c>
      <c r="O196" s="341">
        <f t="shared" si="65"/>
        <v>0.99996919349560554</v>
      </c>
      <c r="P196" s="342">
        <f t="shared" si="66"/>
        <v>1.358243803682454E-2</v>
      </c>
      <c r="Q196" s="343">
        <f t="shared" si="67"/>
        <v>15.643377249456158</v>
      </c>
      <c r="R196" s="344">
        <f t="shared" si="68"/>
        <v>-115.54001036108987</v>
      </c>
      <c r="S196" s="346">
        <f t="shared" si="69"/>
        <v>64.45998963891013</v>
      </c>
      <c r="U196" s="319">
        <f t="shared" si="75"/>
        <v>1000000000</v>
      </c>
      <c r="V196" s="319">
        <f t="shared" si="76"/>
        <v>123043556.25</v>
      </c>
      <c r="X196" s="345">
        <f t="shared" si="70"/>
        <v>38.181057421964873</v>
      </c>
      <c r="Y196" s="346">
        <f t="shared" si="71"/>
        <v>-28.320956955998568</v>
      </c>
      <c r="AA196" s="345">
        <f t="shared" si="72"/>
        <v>34.260366840408054</v>
      </c>
      <c r="AB196" s="346">
        <f t="shared" si="73"/>
        <v>-87.219053405091302</v>
      </c>
      <c r="AD196">
        <f t="shared" si="77"/>
        <v>0</v>
      </c>
      <c r="AE196">
        <f t="shared" si="80"/>
        <v>0</v>
      </c>
    </row>
    <row r="197" spans="1:31" x14ac:dyDescent="0.2">
      <c r="A197" s="347">
        <v>11156.25</v>
      </c>
      <c r="B197" s="364">
        <f t="shared" si="74"/>
        <v>11.15625</v>
      </c>
      <c r="C197" s="337">
        <f t="shared" si="53"/>
        <v>22.163505300514565</v>
      </c>
      <c r="D197" s="338">
        <f t="shared" si="54"/>
        <v>1.5256617874585954</v>
      </c>
      <c r="E197" s="338">
        <f t="shared" si="55"/>
        <v>1.0001415004997538</v>
      </c>
      <c r="F197" s="339">
        <f t="shared" si="56"/>
        <v>1.6821641801086161E-2</v>
      </c>
      <c r="G197" s="338">
        <f t="shared" si="57"/>
        <v>1</v>
      </c>
      <c r="H197" s="339">
        <f t="shared" si="58"/>
        <v>0</v>
      </c>
      <c r="I197" s="337">
        <f t="shared" si="59"/>
        <v>2110.5014674455906</v>
      </c>
      <c r="J197" s="340">
        <f t="shared" si="60"/>
        <v>1.5703225057372747</v>
      </c>
      <c r="K197" s="348">
        <f t="shared" si="81"/>
        <v>2.2270455993424734</v>
      </c>
      <c r="L197" s="349">
        <f t="shared" si="82"/>
        <v>1.1051220511653139</v>
      </c>
      <c r="M197" s="337">
        <f t="shared" si="63"/>
        <v>1.0003631796314028</v>
      </c>
      <c r="N197" s="340">
        <f t="shared" si="64"/>
        <v>2.6946975683831548E-2</v>
      </c>
      <c r="O197" s="341">
        <f t="shared" si="65"/>
        <v>0.99996883846306694</v>
      </c>
      <c r="P197" s="342">
        <f t="shared" si="66"/>
        <v>1.3660507717977513E-2</v>
      </c>
      <c r="Q197" s="343">
        <f t="shared" si="67"/>
        <v>15.583602273827694</v>
      </c>
      <c r="R197" s="344">
        <f t="shared" si="68"/>
        <v>-115.43083252809055</v>
      </c>
      <c r="S197" s="346">
        <f t="shared" si="69"/>
        <v>64.569167471909452</v>
      </c>
      <c r="U197" s="319">
        <f t="shared" si="75"/>
        <v>1000000000</v>
      </c>
      <c r="V197" s="319">
        <f t="shared" si="76"/>
        <v>124461914.0625</v>
      </c>
      <c r="X197" s="345">
        <f t="shared" si="70"/>
        <v>38.17093945432832</v>
      </c>
      <c r="Y197" s="346">
        <f t="shared" si="71"/>
        <v>-28.197970684086823</v>
      </c>
      <c r="AA197" s="345">
        <f t="shared" si="72"/>
        <v>34.210709832416136</v>
      </c>
      <c r="AB197" s="346">
        <f t="shared" si="73"/>
        <v>-87.232861844003722</v>
      </c>
      <c r="AD197">
        <f t="shared" si="77"/>
        <v>0</v>
      </c>
      <c r="AE197">
        <f t="shared" si="80"/>
        <v>0</v>
      </c>
    </row>
    <row r="198" spans="1:31" x14ac:dyDescent="0.2">
      <c r="A198" s="347">
        <v>11220</v>
      </c>
      <c r="B198" s="364">
        <f t="shared" si="74"/>
        <v>11.22</v>
      </c>
      <c r="C198" s="337">
        <f t="shared" si="53"/>
        <v>22.289896809108139</v>
      </c>
      <c r="D198" s="338">
        <f t="shared" si="54"/>
        <v>1.5259178885276916</v>
      </c>
      <c r="E198" s="338">
        <f t="shared" si="55"/>
        <v>1.0001431221527077</v>
      </c>
      <c r="F198" s="339">
        <f t="shared" si="56"/>
        <v>1.6917747180609798E-2</v>
      </c>
      <c r="G198" s="338">
        <f t="shared" si="57"/>
        <v>1</v>
      </c>
      <c r="H198" s="339">
        <f t="shared" si="58"/>
        <v>0</v>
      </c>
      <c r="I198" s="337">
        <f t="shared" si="59"/>
        <v>2122.5614731311366</v>
      </c>
      <c r="J198" s="340">
        <f t="shared" si="60"/>
        <v>1.5703251979019752</v>
      </c>
      <c r="K198" s="348">
        <f t="shared" si="81"/>
        <v>2.2372115412016806</v>
      </c>
      <c r="L198" s="349">
        <f t="shared" si="82"/>
        <v>1.1074042793793961</v>
      </c>
      <c r="M198" s="337">
        <f t="shared" si="63"/>
        <v>1.0003673413504413</v>
      </c>
      <c r="N198" s="340">
        <f t="shared" si="64"/>
        <v>2.710088323121404E-2</v>
      </c>
      <c r="O198" s="341">
        <f t="shared" si="65"/>
        <v>0.99996848139785988</v>
      </c>
      <c r="P198" s="342">
        <f t="shared" si="66"/>
        <v>1.3738577565759845E-2</v>
      </c>
      <c r="Q198" s="343">
        <f t="shared" si="67"/>
        <v>15.524257585940804</v>
      </c>
      <c r="R198" s="344">
        <f t="shared" si="68"/>
        <v>-115.32268313652763</v>
      </c>
      <c r="S198" s="346">
        <f t="shared" si="69"/>
        <v>64.67731686347237</v>
      </c>
      <c r="U198" s="319">
        <f t="shared" si="75"/>
        <v>1000000000</v>
      </c>
      <c r="V198" s="319">
        <f t="shared" si="76"/>
        <v>125888400</v>
      </c>
      <c r="X198" s="345">
        <f t="shared" si="70"/>
        <v>38.160969780938146</v>
      </c>
      <c r="Y198" s="346">
        <f t="shared" si="71"/>
        <v>-28.076181141970384</v>
      </c>
      <c r="AA198" s="345">
        <f t="shared" si="72"/>
        <v>34.161334817919425</v>
      </c>
      <c r="AB198" s="346">
        <f t="shared" si="73"/>
        <v>-87.246501994557264</v>
      </c>
      <c r="AD198">
        <f t="shared" si="77"/>
        <v>0</v>
      </c>
      <c r="AE198">
        <f t="shared" si="80"/>
        <v>0</v>
      </c>
    </row>
    <row r="199" spans="1:31" x14ac:dyDescent="0.2">
      <c r="A199" s="347">
        <v>11285.5</v>
      </c>
      <c r="B199" s="364">
        <f t="shared" si="74"/>
        <v>11.285500000000001</v>
      </c>
      <c r="C199" s="337">
        <f t="shared" si="53"/>
        <v>22.419759393814658</v>
      </c>
      <c r="D199" s="338">
        <f t="shared" si="54"/>
        <v>1.5261780122756969</v>
      </c>
      <c r="E199" s="338">
        <f t="shared" si="55"/>
        <v>1.0001447979430105</v>
      </c>
      <c r="F199" s="339">
        <f t="shared" si="56"/>
        <v>1.7016490421476613E-2</v>
      </c>
      <c r="G199" s="338">
        <f t="shared" si="57"/>
        <v>1</v>
      </c>
      <c r="H199" s="339">
        <f t="shared" si="58"/>
        <v>0</v>
      </c>
      <c r="I199" s="337">
        <f t="shared" si="59"/>
        <v>2134.9525378121261</v>
      </c>
      <c r="J199" s="340">
        <f t="shared" si="60"/>
        <v>1.5703279322901689</v>
      </c>
      <c r="K199" s="348">
        <f t="shared" si="81"/>
        <v>2.2476685736685171</v>
      </c>
      <c r="L199" s="349">
        <f t="shared" si="82"/>
        <v>1.1097276421748985</v>
      </c>
      <c r="M199" s="337">
        <f t="shared" si="63"/>
        <v>1.0003716419934292</v>
      </c>
      <c r="N199" s="340">
        <f t="shared" si="64"/>
        <v>2.7259014354019669E-2</v>
      </c>
      <c r="O199" s="341">
        <f t="shared" si="65"/>
        <v>0.99996811241376482</v>
      </c>
      <c r="P199" s="342">
        <f t="shared" si="66"/>
        <v>1.3818790681956938E-2</v>
      </c>
      <c r="Q199" s="343">
        <f t="shared" si="67"/>
        <v>15.463725706811866</v>
      </c>
      <c r="R199" s="344">
        <f t="shared" si="68"/>
        <v>-115.21262346376577</v>
      </c>
      <c r="S199" s="346">
        <f t="shared" si="69"/>
        <v>64.787376536234234</v>
      </c>
      <c r="U199" s="319">
        <f t="shared" si="75"/>
        <v>1000000000</v>
      </c>
      <c r="V199" s="319">
        <f t="shared" si="76"/>
        <v>127362510.25</v>
      </c>
      <c r="X199" s="345">
        <f t="shared" si="70"/>
        <v>38.150877934421032</v>
      </c>
      <c r="Y199" s="346">
        <f t="shared" si="71"/>
        <v>-27.952279174218273</v>
      </c>
      <c r="AA199" s="345">
        <f t="shared" si="72"/>
        <v>34.110894785307593</v>
      </c>
      <c r="AB199" s="346">
        <f t="shared" si="73"/>
        <v>-87.26034428954749</v>
      </c>
      <c r="AD199">
        <f t="shared" si="77"/>
        <v>0</v>
      </c>
      <c r="AE199">
        <f t="shared" si="80"/>
        <v>0</v>
      </c>
    </row>
    <row r="200" spans="1:31" x14ac:dyDescent="0.2">
      <c r="A200" s="347">
        <v>11351</v>
      </c>
      <c r="B200" s="364">
        <f t="shared" si="74"/>
        <v>11.351000000000001</v>
      </c>
      <c r="C200" s="337">
        <f t="shared" si="53"/>
        <v>22.549623478066955</v>
      </c>
      <c r="D200" s="338">
        <f t="shared" si="54"/>
        <v>1.5264351399170866</v>
      </c>
      <c r="E200" s="338">
        <f t="shared" si="55"/>
        <v>1.0001464834849199</v>
      </c>
      <c r="F200" s="339">
        <f t="shared" si="56"/>
        <v>1.7115233330483197E-2</v>
      </c>
      <c r="G200" s="338">
        <f t="shared" si="57"/>
        <v>1</v>
      </c>
      <c r="H200" s="339">
        <f t="shared" si="58"/>
        <v>0</v>
      </c>
      <c r="I200" s="337">
        <f t="shared" si="59"/>
        <v>2147.3436025088945</v>
      </c>
      <c r="J200" s="340">
        <f t="shared" si="60"/>
        <v>1.5703306351212509</v>
      </c>
      <c r="K200" s="348">
        <f t="shared" si="81"/>
        <v>2.2581376266742743</v>
      </c>
      <c r="L200" s="349">
        <f t="shared" si="82"/>
        <v>1.1120294744072776</v>
      </c>
      <c r="M200" s="337">
        <f t="shared" si="63"/>
        <v>1.0003759676509469</v>
      </c>
      <c r="N200" s="340">
        <f t="shared" si="64"/>
        <v>2.7417144113251368E-2</v>
      </c>
      <c r="O200" s="341">
        <f t="shared" si="65"/>
        <v>0.99996774128394206</v>
      </c>
      <c r="P200" s="342">
        <f t="shared" si="66"/>
        <v>1.3899003976094977E-2</v>
      </c>
      <c r="Q200" s="343">
        <f t="shared" si="67"/>
        <v>15.403635384995482</v>
      </c>
      <c r="R200" s="344">
        <f t="shared" si="68"/>
        <v>-115.10362388013166</v>
      </c>
      <c r="S200" s="346">
        <f t="shared" si="69"/>
        <v>64.896376119868336</v>
      </c>
      <c r="U200" s="319">
        <f t="shared" si="75"/>
        <v>1000000000</v>
      </c>
      <c r="V200" s="319">
        <f t="shared" si="76"/>
        <v>128845201</v>
      </c>
      <c r="X200" s="345">
        <f t="shared" si="70"/>
        <v>38.140936693866621</v>
      </c>
      <c r="Y200" s="346">
        <f t="shared" si="71"/>
        <v>-27.829608930648735</v>
      </c>
      <c r="AA200" s="345">
        <f t="shared" si="72"/>
        <v>34.060745704045623</v>
      </c>
      <c r="AB200" s="346">
        <f t="shared" si="73"/>
        <v>-87.274014949482918</v>
      </c>
      <c r="AD200">
        <f t="shared" si="77"/>
        <v>0</v>
      </c>
      <c r="AE200">
        <f t="shared" si="80"/>
        <v>0</v>
      </c>
    </row>
    <row r="201" spans="1:31" x14ac:dyDescent="0.2">
      <c r="A201" s="347">
        <v>11416.5</v>
      </c>
      <c r="B201" s="364">
        <f t="shared" si="74"/>
        <v>11.416499999999999</v>
      </c>
      <c r="C201" s="337">
        <f t="shared" si="53"/>
        <v>22.679489036105569</v>
      </c>
      <c r="D201" s="338">
        <f t="shared" si="54"/>
        <v>1.5266893228857956</v>
      </c>
      <c r="E201" s="338">
        <f t="shared" si="55"/>
        <v>1.0001481787783864</v>
      </c>
      <c r="F201" s="339">
        <f t="shared" si="56"/>
        <v>1.7213975905705722E-2</v>
      </c>
      <c r="G201" s="338">
        <f t="shared" si="57"/>
        <v>1</v>
      </c>
      <c r="H201" s="339">
        <f t="shared" si="58"/>
        <v>0</v>
      </c>
      <c r="I201" s="337">
        <f t="shared" si="59"/>
        <v>2159.7346672211688</v>
      </c>
      <c r="J201" s="340">
        <f t="shared" si="60"/>
        <v>1.5703333069383798</v>
      </c>
      <c r="K201" s="348">
        <f t="shared" si="81"/>
        <v>2.268618533804478</v>
      </c>
      <c r="L201" s="349">
        <f t="shared" si="82"/>
        <v>1.1143100499247076</v>
      </c>
      <c r="M201" s="337">
        <f t="shared" si="63"/>
        <v>1.0003803183226696</v>
      </c>
      <c r="N201" s="340">
        <f t="shared" si="64"/>
        <v>2.757527250101879E-2</v>
      </c>
      <c r="O201" s="341">
        <f t="shared" si="65"/>
        <v>0.99996736800842734</v>
      </c>
      <c r="P201" s="342">
        <f t="shared" si="66"/>
        <v>1.3979217449206625E-2</v>
      </c>
      <c r="Q201" s="343">
        <f t="shared" si="67"/>
        <v>15.343980386173719</v>
      </c>
      <c r="R201" s="344">
        <f t="shared" si="68"/>
        <v>-114.99567167306613</v>
      </c>
      <c r="S201" s="346">
        <f t="shared" si="69"/>
        <v>65.004328326933873</v>
      </c>
      <c r="U201" s="319">
        <f t="shared" si="75"/>
        <v>1000000000</v>
      </c>
      <c r="V201" s="319">
        <f t="shared" si="76"/>
        <v>130336472.25</v>
      </c>
      <c r="X201" s="345">
        <f t="shared" si="70"/>
        <v>38.131143152183448</v>
      </c>
      <c r="Y201" s="346">
        <f t="shared" si="71"/>
        <v>-27.708154751585749</v>
      </c>
      <c r="AA201" s="345">
        <f t="shared" si="72"/>
        <v>34.010884246907032</v>
      </c>
      <c r="AB201" s="346">
        <f t="shared" si="73"/>
        <v>-87.287516921480361</v>
      </c>
      <c r="AD201">
        <f t="shared" si="77"/>
        <v>0</v>
      </c>
      <c r="AE201">
        <f t="shared" si="80"/>
        <v>0</v>
      </c>
    </row>
    <row r="202" spans="1:31" x14ac:dyDescent="0.2">
      <c r="A202" s="347">
        <v>11482</v>
      </c>
      <c r="B202" s="364">
        <f t="shared" si="74"/>
        <v>11.481999999999999</v>
      </c>
      <c r="C202" s="337">
        <f t="shared" si="53"/>
        <v>22.8093560427574</v>
      </c>
      <c r="D202" s="338">
        <f t="shared" si="54"/>
        <v>1.5269406114459283</v>
      </c>
      <c r="E202" s="338">
        <f t="shared" si="55"/>
        <v>1.0001498838233609</v>
      </c>
      <c r="F202" s="339">
        <f t="shared" si="56"/>
        <v>1.7312718145220386E-2</v>
      </c>
      <c r="G202" s="338">
        <f t="shared" si="57"/>
        <v>1</v>
      </c>
      <c r="H202" s="339">
        <f t="shared" si="58"/>
        <v>0</v>
      </c>
      <c r="I202" s="337">
        <f t="shared" si="59"/>
        <v>2172.1257319486854</v>
      </c>
      <c r="J202" s="340">
        <f t="shared" si="60"/>
        <v>1.5703359482723203</v>
      </c>
      <c r="K202" s="348">
        <f t="shared" si="81"/>
        <v>2.2791111315190902</v>
      </c>
      <c r="L202" s="349">
        <f t="shared" si="82"/>
        <v>1.1165696384254074</v>
      </c>
      <c r="M202" s="337">
        <f t="shared" si="63"/>
        <v>1.0003846940082712</v>
      </c>
      <c r="N202" s="340">
        <f t="shared" si="64"/>
        <v>2.7733399509432016E-2</v>
      </c>
      <c r="O202" s="341">
        <f t="shared" si="65"/>
        <v>0.99996699258725674</v>
      </c>
      <c r="P202" s="342">
        <f t="shared" si="66"/>
        <v>1.4059431102324547E-2</v>
      </c>
      <c r="Q202" s="343">
        <f t="shared" si="67"/>
        <v>15.28475460023156</v>
      </c>
      <c r="R202" s="344">
        <f t="shared" si="68"/>
        <v>-114.8887543000484</v>
      </c>
      <c r="S202" s="346">
        <f t="shared" si="69"/>
        <v>65.111245699951596</v>
      </c>
      <c r="U202" s="319">
        <f t="shared" si="75"/>
        <v>1000000000</v>
      </c>
      <c r="V202" s="319">
        <f t="shared" si="76"/>
        <v>131836324</v>
      </c>
      <c r="X202" s="345">
        <f t="shared" si="70"/>
        <v>38.121494469825372</v>
      </c>
      <c r="Y202" s="346">
        <f t="shared" si="71"/>
        <v>-27.587901214418128</v>
      </c>
      <c r="AA202" s="345">
        <f t="shared" si="72"/>
        <v>33.961307143322955</v>
      </c>
      <c r="AB202" s="346">
        <f t="shared" si="73"/>
        <v>-87.300853085630251</v>
      </c>
      <c r="AD202">
        <f t="shared" si="77"/>
        <v>0</v>
      </c>
      <c r="AE202">
        <f t="shared" si="80"/>
        <v>0</v>
      </c>
    </row>
    <row r="203" spans="1:31" x14ac:dyDescent="0.2">
      <c r="A203" s="347">
        <v>11548.75</v>
      </c>
      <c r="B203" s="364">
        <f t="shared" si="74"/>
        <v>11.54875</v>
      </c>
      <c r="C203" s="337">
        <f t="shared" si="53"/>
        <v>22.941702892273341</v>
      </c>
      <c r="D203" s="338">
        <f t="shared" si="54"/>
        <v>1.5271937686570303</v>
      </c>
      <c r="E203" s="338">
        <f t="shared" si="55"/>
        <v>1.0001516314397398</v>
      </c>
      <c r="F203" s="339">
        <f t="shared" si="56"/>
        <v>1.7413344431248208E-2</v>
      </c>
      <c r="G203" s="338">
        <f t="shared" si="57"/>
        <v>1</v>
      </c>
      <c r="H203" s="339">
        <f t="shared" si="58"/>
        <v>0</v>
      </c>
      <c r="I203" s="337">
        <f t="shared" si="59"/>
        <v>2184.7532673925207</v>
      </c>
      <c r="J203" s="340">
        <f t="shared" si="60"/>
        <v>1.5703386091890494</v>
      </c>
      <c r="K203" s="348">
        <f t="shared" si="81"/>
        <v>2.2898158306242209</v>
      </c>
      <c r="L203" s="349">
        <f t="shared" si="82"/>
        <v>1.1188510322170317</v>
      </c>
      <c r="M203" s="337">
        <f t="shared" si="63"/>
        <v>1.0003891789334631</v>
      </c>
      <c r="N203" s="340">
        <f t="shared" si="64"/>
        <v>2.7894542781586363E-2</v>
      </c>
      <c r="O203" s="341">
        <f t="shared" si="65"/>
        <v>0.99996660779412949</v>
      </c>
      <c r="P203" s="342">
        <f t="shared" si="66"/>
        <v>1.4141175736610369E-2</v>
      </c>
      <c r="Q203" s="343">
        <f t="shared" si="67"/>
        <v>15.224833928719239</v>
      </c>
      <c r="R203" s="344">
        <f t="shared" si="68"/>
        <v>-114.78084835374166</v>
      </c>
      <c r="S203" s="346">
        <f t="shared" si="69"/>
        <v>65.219151646258339</v>
      </c>
      <c r="U203" s="319">
        <f t="shared" si="75"/>
        <v>1000000000</v>
      </c>
      <c r="V203" s="319">
        <f t="shared" si="76"/>
        <v>133373626.5625</v>
      </c>
      <c r="X203" s="345">
        <f t="shared" si="70"/>
        <v>38.111807813185941</v>
      </c>
      <c r="Y203" s="346">
        <f t="shared" si="71"/>
        <v>-27.466572267301661</v>
      </c>
      <c r="AA203" s="345">
        <f t="shared" si="72"/>
        <v>33.911073128450056</v>
      </c>
      <c r="AB203" s="346">
        <f t="shared" si="73"/>
        <v>-87.314276086439975</v>
      </c>
      <c r="AD203">
        <f t="shared" si="77"/>
        <v>0</v>
      </c>
      <c r="AE203">
        <f t="shared" si="80"/>
        <v>0</v>
      </c>
    </row>
    <row r="204" spans="1:31" x14ac:dyDescent="0.2">
      <c r="A204" s="347">
        <v>11615.5</v>
      </c>
      <c r="B204" s="364">
        <f t="shared" si="74"/>
        <v>11.615500000000001</v>
      </c>
      <c r="C204" s="337">
        <f t="shared" si="53"/>
        <v>23.07405119522371</v>
      </c>
      <c r="D204" s="338">
        <f t="shared" si="54"/>
        <v>1.5274440217622414</v>
      </c>
      <c r="E204" s="338">
        <f t="shared" si="55"/>
        <v>1.0001533891832679</v>
      </c>
      <c r="F204" s="339">
        <f t="shared" si="56"/>
        <v>1.7513970364598772E-2</v>
      </c>
      <c r="G204" s="338">
        <f t="shared" si="57"/>
        <v>1</v>
      </c>
      <c r="H204" s="339">
        <f t="shared" si="58"/>
        <v>0</v>
      </c>
      <c r="I204" s="337">
        <f t="shared" si="59"/>
        <v>2197.3808028516469</v>
      </c>
      <c r="J204" s="340">
        <f t="shared" si="60"/>
        <v>1.5703412395231686</v>
      </c>
      <c r="K204" s="348">
        <f t="shared" si="81"/>
        <v>2.3005323367181298</v>
      </c>
      <c r="L204" s="349">
        <f t="shared" si="82"/>
        <v>1.1211111829740004</v>
      </c>
      <c r="M204" s="337">
        <f t="shared" si="63"/>
        <v>1.0003936898356818</v>
      </c>
      <c r="N204" s="340">
        <f t="shared" si="64"/>
        <v>2.8055684604694112E-2</v>
      </c>
      <c r="O204" s="341">
        <f t="shared" si="65"/>
        <v>0.99996622077274577</v>
      </c>
      <c r="P204" s="342">
        <f t="shared" si="66"/>
        <v>1.4222920560003858E-2</v>
      </c>
      <c r="Q204" s="343">
        <f t="shared" si="67"/>
        <v>15.165346576882326</v>
      </c>
      <c r="R204" s="344">
        <f t="shared" si="68"/>
        <v>-114.67399134641836</v>
      </c>
      <c r="S204" s="346">
        <f t="shared" si="69"/>
        <v>65.326008653581638</v>
      </c>
      <c r="U204" s="319">
        <f t="shared" si="75"/>
        <v>1000000000</v>
      </c>
      <c r="V204" s="319">
        <f t="shared" si="76"/>
        <v>134919840.25</v>
      </c>
      <c r="X204" s="345">
        <f t="shared" si="70"/>
        <v>38.102265849777964</v>
      </c>
      <c r="Y204" s="346">
        <f t="shared" si="71"/>
        <v>-27.346458621137668</v>
      </c>
      <c r="AA204" s="345">
        <f t="shared" si="72"/>
        <v>33.861127740021132</v>
      </c>
      <c r="AB204" s="346">
        <f t="shared" si="73"/>
        <v>-87.327532725280705</v>
      </c>
      <c r="AD204">
        <f t="shared" si="77"/>
        <v>0</v>
      </c>
      <c r="AE204">
        <f t="shared" si="80"/>
        <v>0</v>
      </c>
    </row>
    <row r="205" spans="1:31" x14ac:dyDescent="0.2">
      <c r="A205" s="347">
        <v>11682.25</v>
      </c>
      <c r="B205" s="364">
        <f t="shared" si="74"/>
        <v>11.68225</v>
      </c>
      <c r="C205" s="337">
        <f t="shared" ref="C205:C268" si="83">SQRT(1+(A205/pole1)^2)</f>
        <v>23.206400926741267</v>
      </c>
      <c r="D205" s="338">
        <f t="shared" ref="D205:D268" si="84">ATAN(A205/pole1)</f>
        <v>1.5276914204176553</v>
      </c>
      <c r="E205" s="338">
        <f t="shared" ref="E205:E268" si="85">SQRT(1+(A205/Zero1)^2)</f>
        <v>1.000155157053892</v>
      </c>
      <c r="F205" s="339">
        <f t="shared" ref="F205:F268" si="86">ATAN(A205/Zero1)</f>
        <v>1.761459594323616E-2</v>
      </c>
      <c r="G205" s="338">
        <f t="shared" ref="G205:G268" si="87">IF(VIN_nom&gt;Vout, 1, SQRT(1+(A205/z_RHP)^2))</f>
        <v>1</v>
      </c>
      <c r="H205" s="339">
        <f t="shared" ref="H205:H268" si="88">IF(VIN_nom&gt;Vout, 0, -ATAN(A205/z_RHP))</f>
        <v>0</v>
      </c>
      <c r="I205" s="337">
        <f t="shared" ref="I205:I268" si="89">SQRT(1+(A205/Pole2)^2)</f>
        <v>2210.0083383258029</v>
      </c>
      <c r="J205" s="340">
        <f t="shared" ref="J205:J268" si="90">ATAN(A205/Pole2)</f>
        <v>1.5703438397989056</v>
      </c>
      <c r="K205" s="348">
        <f t="shared" si="81"/>
        <v>2.3112604855661973</v>
      </c>
      <c r="L205" s="349">
        <f t="shared" si="82"/>
        <v>1.1233503632541286</v>
      </c>
      <c r="M205" s="337">
        <f t="shared" ref="M205:M268" si="91">SQRT(1+(A205/pole4)^2)</f>
        <v>1.0003982267145757</v>
      </c>
      <c r="N205" s="340">
        <f t="shared" ref="N205:N268" si="92">ATAN(A205/pole4)</f>
        <v>2.8216824970406278E-2</v>
      </c>
      <c r="O205" s="341">
        <f t="shared" ref="O205:O268" si="93">SQRT((1-(V205/pterm2))^2+(A205/pterm1)^2)</f>
        <v>0.99996583152314433</v>
      </c>
      <c r="P205" s="342">
        <f t="shared" ref="P205:P268" si="94">IF((ATAN((A205/pterm1)/(1-A205^2/pterm2))&gt;0),ATAN((A205/pterm1)/(1-A205^2/pterm2)),PI()+ATAN((A205/pterm1)/(1-A205^2/pterm2)))</f>
        <v>1.4304665573597934E-2</v>
      </c>
      <c r="Q205" s="343">
        <f t="shared" ref="Q205:Q268" si="95">20*LOG10(((E205*K205*G205)/(C205*I205*O205*M205))*Adc)</f>
        <v>15.10628645658889</v>
      </c>
      <c r="R205" s="344">
        <f t="shared" ref="R205:R268" si="96">((F205+L205+H205)-(D205+J205+P205+N205))*radconv</f>
        <v>-114.5681705364876</v>
      </c>
      <c r="S205" s="346">
        <f t="shared" ref="S205:S268" si="97">IF(R205&gt;0,R205,R205+180)</f>
        <v>65.4318294635124</v>
      </c>
      <c r="U205" s="319">
        <f t="shared" si="75"/>
        <v>1000000000</v>
      </c>
      <c r="V205" s="319">
        <f t="shared" si="76"/>
        <v>136474965.0625</v>
      </c>
      <c r="X205" s="345">
        <f t="shared" ref="X205:X268" si="98">20*LOG10((K205/(I205*M205))*AEA)</f>
        <v>38.092865779367408</v>
      </c>
      <c r="Y205" s="346">
        <f t="shared" ref="Y205:Y268" si="99">(L205-(J205+N205))*radconv</f>
        <v>-27.227544689071308</v>
      </c>
      <c r="AA205" s="345">
        <f t="shared" ref="AA205:AA268" si="100">20*LOG10((E205*G205/(C205*O205))*Acs*Am)</f>
        <v>33.811467690138244</v>
      </c>
      <c r="AB205" s="346">
        <f t="shared" ref="AB205:AB268" si="101">(F205+H205-(D205+P205))*radconv</f>
        <v>-87.340625847416291</v>
      </c>
      <c r="AD205">
        <f t="shared" si="77"/>
        <v>0</v>
      </c>
      <c r="AE205">
        <f t="shared" si="80"/>
        <v>0</v>
      </c>
    </row>
    <row r="206" spans="1:31" x14ac:dyDescent="0.2">
      <c r="A206" s="347">
        <v>11749</v>
      </c>
      <c r="B206" s="364">
        <f t="shared" ref="B206:B269" si="102">A206/1000</f>
        <v>11.749000000000001</v>
      </c>
      <c r="C206" s="337">
        <f t="shared" si="83"/>
        <v>23.338752062522598</v>
      </c>
      <c r="D206" s="338">
        <f t="shared" si="84"/>
        <v>1.5279360131544064</v>
      </c>
      <c r="E206" s="338">
        <f t="shared" si="85"/>
        <v>1.0001569350515584</v>
      </c>
      <c r="F206" s="339">
        <f t="shared" si="86"/>
        <v>1.771522116512448E-2</v>
      </c>
      <c r="G206" s="338">
        <f t="shared" si="87"/>
        <v>1</v>
      </c>
      <c r="H206" s="339">
        <f t="shared" si="88"/>
        <v>0</v>
      </c>
      <c r="I206" s="337">
        <f t="shared" si="89"/>
        <v>2222.6358738147319</v>
      </c>
      <c r="J206" s="340">
        <f t="shared" si="90"/>
        <v>1.5703464105285758</v>
      </c>
      <c r="K206" s="348">
        <f t="shared" si="81"/>
        <v>2.3220001157922097</v>
      </c>
      <c r="L206" s="349">
        <f t="shared" si="82"/>
        <v>1.1255688414221148</v>
      </c>
      <c r="M206" s="337">
        <f t="shared" si="91"/>
        <v>1.0004027895697918</v>
      </c>
      <c r="N206" s="340">
        <f t="shared" si="92"/>
        <v>2.8377963870374331E-2</v>
      </c>
      <c r="O206" s="341">
        <f t="shared" si="93"/>
        <v>0.99996544004536414</v>
      </c>
      <c r="P206" s="342">
        <f t="shared" si="94"/>
        <v>1.4386410778485504E-2</v>
      </c>
      <c r="Q206" s="343">
        <f t="shared" si="95"/>
        <v>15.047647600778953</v>
      </c>
      <c r="R206" s="344">
        <f t="shared" si="96"/>
        <v>-114.46337335746837</v>
      </c>
      <c r="S206" s="346">
        <f t="shared" si="97"/>
        <v>65.53662664253163</v>
      </c>
      <c r="U206" s="319">
        <f t="shared" ref="U206:U269" si="103">IF(Q206&lt;0,A206,1000000000)</f>
        <v>1000000000</v>
      </c>
      <c r="V206" s="319">
        <f t="shared" ref="V206:V269" si="104">A206^2</f>
        <v>138039001</v>
      </c>
      <c r="X206" s="345">
        <f t="shared" si="98"/>
        <v>38.083604867013335</v>
      </c>
      <c r="Y206" s="346">
        <f t="shared" si="99"/>
        <v>-27.109815123813188</v>
      </c>
      <c r="AA206" s="345">
        <f t="shared" si="100"/>
        <v>33.762089746682378</v>
      </c>
      <c r="AB206" s="346">
        <f t="shared" si="101"/>
        <v>-87.353558233655178</v>
      </c>
      <c r="AD206">
        <f t="shared" ref="AD206:AD269" si="105">SUM((Q207&lt;0)*(Q206&gt;0))*A206</f>
        <v>0</v>
      </c>
      <c r="AE206">
        <f t="shared" si="80"/>
        <v>0</v>
      </c>
    </row>
    <row r="207" spans="1:31" x14ac:dyDescent="0.2">
      <c r="A207" s="347">
        <v>11817.5</v>
      </c>
      <c r="B207" s="364">
        <f t="shared" si="102"/>
        <v>11.817500000000001</v>
      </c>
      <c r="C207" s="337">
        <f t="shared" si="83"/>
        <v>23.474574513328456</v>
      </c>
      <c r="D207" s="338">
        <f t="shared" si="84"/>
        <v>1.5281841509500604</v>
      </c>
      <c r="E207" s="338">
        <f t="shared" si="85"/>
        <v>1.0001587701921164</v>
      </c>
      <c r="F207" s="339">
        <f t="shared" si="86"/>
        <v>1.7818484128408113E-2</v>
      </c>
      <c r="G207" s="338">
        <f t="shared" si="87"/>
        <v>1</v>
      </c>
      <c r="H207" s="339">
        <f t="shared" si="88"/>
        <v>0</v>
      </c>
      <c r="I207" s="337">
        <f t="shared" si="89"/>
        <v>2235.5944683016132</v>
      </c>
      <c r="J207" s="340">
        <f t="shared" si="90"/>
        <v>1.5703490184625821</v>
      </c>
      <c r="K207" s="348">
        <f t="shared" si="81"/>
        <v>2.3330330799081223</v>
      </c>
      <c r="L207" s="349">
        <f t="shared" si="82"/>
        <v>1.1278242356798491</v>
      </c>
      <c r="M207" s="337">
        <f t="shared" si="91"/>
        <v>1.0004074990568426</v>
      </c>
      <c r="N207" s="340">
        <f t="shared" si="92"/>
        <v>2.854332585305281E-2</v>
      </c>
      <c r="O207" s="341">
        <f t="shared" si="93"/>
        <v>0.99996503598759312</v>
      </c>
      <c r="P207" s="342">
        <f t="shared" si="94"/>
        <v>1.4470299316113698E-2</v>
      </c>
      <c r="Q207" s="343">
        <f t="shared" si="95"/>
        <v>14.987903239150951</v>
      </c>
      <c r="R207" s="344">
        <f t="shared" si="96"/>
        <v>-114.35687992815981</v>
      </c>
      <c r="S207" s="346">
        <f t="shared" si="97"/>
        <v>65.643120071840187</v>
      </c>
      <c r="U207" s="319">
        <f t="shared" si="103"/>
        <v>1000000000</v>
      </c>
      <c r="V207" s="319">
        <f t="shared" si="104"/>
        <v>139653306.25</v>
      </c>
      <c r="X207" s="345">
        <f t="shared" si="98"/>
        <v>38.074243036362624</v>
      </c>
      <c r="Y207" s="346">
        <f t="shared" si="99"/>
        <v>-26.990214518881505</v>
      </c>
      <c r="AA207" s="345">
        <f t="shared" si="100"/>
        <v>33.711707215705083</v>
      </c>
      <c r="AB207" s="346">
        <f t="shared" si="101"/>
        <v>-87.366665409278269</v>
      </c>
      <c r="AD207">
        <f t="shared" si="105"/>
        <v>0</v>
      </c>
      <c r="AE207">
        <f t="shared" si="80"/>
        <v>0</v>
      </c>
    </row>
    <row r="208" spans="1:31" x14ac:dyDescent="0.2">
      <c r="A208" s="347">
        <v>11886</v>
      </c>
      <c r="B208" s="364">
        <f t="shared" si="102"/>
        <v>11.885999999999999</v>
      </c>
      <c r="C208" s="337">
        <f t="shared" si="83"/>
        <v>23.610398392889749</v>
      </c>
      <c r="D208" s="338">
        <f t="shared" si="84"/>
        <v>1.5284294338289166</v>
      </c>
      <c r="E208" s="338">
        <f t="shared" si="85"/>
        <v>1.0001606159975678</v>
      </c>
      <c r="F208" s="339">
        <f t="shared" si="86"/>
        <v>1.7921746711647386E-2</v>
      </c>
      <c r="G208" s="338">
        <f t="shared" si="87"/>
        <v>1</v>
      </c>
      <c r="H208" s="339">
        <f t="shared" si="88"/>
        <v>0</v>
      </c>
      <c r="I208" s="337">
        <f t="shared" si="89"/>
        <v>2248.5530628035244</v>
      </c>
      <c r="J208" s="340">
        <f t="shared" si="90"/>
        <v>1.5703515963371162</v>
      </c>
      <c r="K208" s="348">
        <f t="shared" si="81"/>
        <v>2.3440777999531193</v>
      </c>
      <c r="L208" s="349">
        <f t="shared" si="82"/>
        <v>1.1300583874833769</v>
      </c>
      <c r="M208" s="337">
        <f t="shared" si="91"/>
        <v>1.0004122358993635</v>
      </c>
      <c r="N208" s="340">
        <f t="shared" si="92"/>
        <v>2.8708686274311161E-2</v>
      </c>
      <c r="O208" s="341">
        <f t="shared" si="93"/>
        <v>0.9999646295833623</v>
      </c>
      <c r="P208" s="342">
        <f t="shared" si="94"/>
        <v>1.4554188057529361E-2</v>
      </c>
      <c r="Q208" s="343">
        <f t="shared" si="95"/>
        <v>14.928590165962817</v>
      </c>
      <c r="R208" s="344">
        <f t="shared" si="96"/>
        <v>-114.25143824884897</v>
      </c>
      <c r="S208" s="346">
        <f t="shared" si="97"/>
        <v>65.74856175115103</v>
      </c>
      <c r="U208" s="319">
        <f t="shared" si="103"/>
        <v>1000000000</v>
      </c>
      <c r="V208" s="319">
        <f t="shared" si="104"/>
        <v>141276996</v>
      </c>
      <c r="X208" s="345">
        <f t="shared" si="98"/>
        <v>38.065022123640581</v>
      </c>
      <c r="Y208" s="346">
        <f t="shared" si="99"/>
        <v>-26.87182920518007</v>
      </c>
      <c r="AA208" s="345">
        <f t="shared" si="100"/>
        <v>33.66161505523899</v>
      </c>
      <c r="AB208" s="346">
        <f t="shared" si="101"/>
        <v>-87.379609043668879</v>
      </c>
      <c r="AD208">
        <f t="shared" si="105"/>
        <v>0</v>
      </c>
      <c r="AE208">
        <f t="shared" si="80"/>
        <v>0</v>
      </c>
    </row>
    <row r="209" spans="1:31" x14ac:dyDescent="0.2">
      <c r="A209" s="347">
        <v>11954.5</v>
      </c>
      <c r="B209" s="364">
        <f t="shared" si="102"/>
        <v>11.954499999999999</v>
      </c>
      <c r="C209" s="337">
        <f t="shared" si="83"/>
        <v>23.746223676689848</v>
      </c>
      <c r="D209" s="338">
        <f t="shared" si="84"/>
        <v>1.5286719107504532</v>
      </c>
      <c r="E209" s="338">
        <f t="shared" si="85"/>
        <v>1.0001624724678533</v>
      </c>
      <c r="F209" s="339">
        <f t="shared" si="86"/>
        <v>1.8025008912642207E-2</v>
      </c>
      <c r="G209" s="338">
        <f t="shared" si="87"/>
        <v>1</v>
      </c>
      <c r="H209" s="339">
        <f t="shared" si="88"/>
        <v>0</v>
      </c>
      <c r="I209" s="337">
        <f t="shared" si="89"/>
        <v>2261.5116573202063</v>
      </c>
      <c r="J209" s="340">
        <f t="shared" si="90"/>
        <v>1.5703541446689055</v>
      </c>
      <c r="K209" s="348">
        <f t="shared" si="81"/>
        <v>2.3551341105341463</v>
      </c>
      <c r="L209" s="349">
        <f t="shared" si="82"/>
        <v>1.1322715735430799</v>
      </c>
      <c r="M209" s="337">
        <f t="shared" si="91"/>
        <v>1.0004170000969661</v>
      </c>
      <c r="N209" s="340">
        <f t="shared" si="92"/>
        <v>2.8874045125128374E-2</v>
      </c>
      <c r="O209" s="341">
        <f t="shared" si="93"/>
        <v>0.99996422083271463</v>
      </c>
      <c r="P209" s="342">
        <f t="shared" si="94"/>
        <v>1.4638077003913631E-2</v>
      </c>
      <c r="Q209" s="343">
        <f t="shared" si="95"/>
        <v>14.869702310471498</v>
      </c>
      <c r="R209" s="344">
        <f t="shared" si="96"/>
        <v>-114.14703529965355</v>
      </c>
      <c r="S209" s="346">
        <f t="shared" si="97"/>
        <v>65.852964700346448</v>
      </c>
      <c r="U209" s="319">
        <f t="shared" si="103"/>
        <v>1000000000</v>
      </c>
      <c r="V209" s="319">
        <f t="shared" si="104"/>
        <v>142910070.25</v>
      </c>
      <c r="X209" s="345">
        <f t="shared" si="98"/>
        <v>38.055939376100781</v>
      </c>
      <c r="Y209" s="346">
        <f t="shared" si="99"/>
        <v>-26.754643357461287</v>
      </c>
      <c r="AA209" s="345">
        <f t="shared" si="100"/>
        <v>33.611809947287483</v>
      </c>
      <c r="AB209" s="346">
        <f t="shared" si="101"/>
        <v>-87.392391942192248</v>
      </c>
      <c r="AD209">
        <f t="shared" si="105"/>
        <v>0</v>
      </c>
      <c r="AE209">
        <f t="shared" si="80"/>
        <v>0</v>
      </c>
    </row>
    <row r="210" spans="1:31" x14ac:dyDescent="0.2">
      <c r="A210" s="347">
        <v>12023</v>
      </c>
      <c r="B210" s="364">
        <f t="shared" si="102"/>
        <v>12.023</v>
      </c>
      <c r="C210" s="337">
        <f t="shared" si="83"/>
        <v>23.882050340769609</v>
      </c>
      <c r="D210" s="338">
        <f t="shared" si="84"/>
        <v>1.5289116295616774</v>
      </c>
      <c r="E210" s="338">
        <f t="shared" si="85"/>
        <v>1.0001643396029141</v>
      </c>
      <c r="F210" s="339">
        <f t="shared" si="86"/>
        <v>1.8128270729192524E-2</v>
      </c>
      <c r="G210" s="338">
        <f t="shared" si="87"/>
        <v>1</v>
      </c>
      <c r="H210" s="339">
        <f t="shared" si="88"/>
        <v>0</v>
      </c>
      <c r="I210" s="337">
        <f t="shared" si="89"/>
        <v>2274.4702518514077</v>
      </c>
      <c r="J210" s="340">
        <f t="shared" si="90"/>
        <v>1.5703566639629016</v>
      </c>
      <c r="K210" s="348">
        <f t="shared" si="81"/>
        <v>2.3662018491774548</v>
      </c>
      <c r="L210" s="349">
        <f t="shared" si="82"/>
        <v>1.134464066221881</v>
      </c>
      <c r="M210" s="337">
        <f t="shared" si="91"/>
        <v>1.0004217916492597</v>
      </c>
      <c r="N210" s="340">
        <f t="shared" si="92"/>
        <v>2.9039402396483959E-2</v>
      </c>
      <c r="O210" s="341">
        <f t="shared" si="93"/>
        <v>0.99996380973569321</v>
      </c>
      <c r="P210" s="342">
        <f t="shared" si="94"/>
        <v>1.4721966156447644E-2</v>
      </c>
      <c r="Q210" s="343">
        <f t="shared" si="95"/>
        <v>14.811233723247222</v>
      </c>
      <c r="R210" s="344">
        <f t="shared" si="96"/>
        <v>-114.04365824536758</v>
      </c>
      <c r="S210" s="346">
        <f t="shared" si="97"/>
        <v>65.956341754632419</v>
      </c>
      <c r="U210" s="319">
        <f t="shared" si="103"/>
        <v>1000000000</v>
      </c>
      <c r="V210" s="319">
        <f t="shared" si="104"/>
        <v>144552529</v>
      </c>
      <c r="X210" s="345">
        <f t="shared" si="98"/>
        <v>38.046992105841561</v>
      </c>
      <c r="Y210" s="346">
        <f t="shared" si="99"/>
        <v>-26.638641398893906</v>
      </c>
      <c r="AA210" s="345">
        <f t="shared" si="100"/>
        <v>33.562288630322421</v>
      </c>
      <c r="AB210" s="346">
        <f t="shared" si="101"/>
        <v>-87.405016846473657</v>
      </c>
      <c r="AD210">
        <f t="shared" si="105"/>
        <v>0</v>
      </c>
      <c r="AE210">
        <f t="shared" si="80"/>
        <v>0</v>
      </c>
    </row>
    <row r="211" spans="1:31" x14ac:dyDescent="0.2">
      <c r="A211" s="347">
        <v>12093</v>
      </c>
      <c r="B211" s="364">
        <f t="shared" si="102"/>
        <v>12.093</v>
      </c>
      <c r="C211" s="337">
        <f t="shared" si="83"/>
        <v>24.020852712944546</v>
      </c>
      <c r="D211" s="338">
        <f t="shared" si="84"/>
        <v>1.5291537969833733</v>
      </c>
      <c r="E211" s="338">
        <f t="shared" si="85"/>
        <v>1.0001662586417164</v>
      </c>
      <c r="F211" s="339">
        <f t="shared" si="86"/>
        <v>1.8233793353950725E-2</v>
      </c>
      <c r="G211" s="338">
        <f t="shared" si="87"/>
        <v>1</v>
      </c>
      <c r="H211" s="339">
        <f t="shared" si="88"/>
        <v>0</v>
      </c>
      <c r="I211" s="337">
        <f t="shared" si="89"/>
        <v>2287.7126112411006</v>
      </c>
      <c r="J211" s="340">
        <f t="shared" si="90"/>
        <v>1.5703592089388636</v>
      </c>
      <c r="K211" s="348">
        <f t="shared" si="81"/>
        <v>2.3775235871545353</v>
      </c>
      <c r="L211" s="349">
        <f t="shared" si="82"/>
        <v>1.1366834705944571</v>
      </c>
      <c r="M211" s="337">
        <f t="shared" si="91"/>
        <v>1.0004267163854079</v>
      </c>
      <c r="N211" s="340">
        <f t="shared" si="92"/>
        <v>2.9208378988879135E-2</v>
      </c>
      <c r="O211" s="341">
        <f t="shared" si="93"/>
        <v>0.99996338721258526</v>
      </c>
      <c r="P211" s="342">
        <f t="shared" si="94"/>
        <v>1.4807692511922918E-2</v>
      </c>
      <c r="Q211" s="343">
        <f t="shared" si="95"/>
        <v>14.751911874966876</v>
      </c>
      <c r="R211" s="344">
        <f t="shared" si="96"/>
        <v>-113.93906413214759</v>
      </c>
      <c r="S211" s="346">
        <f t="shared" si="97"/>
        <v>66.060935867852407</v>
      </c>
      <c r="U211" s="319">
        <f t="shared" si="103"/>
        <v>1000000000</v>
      </c>
      <c r="V211" s="319">
        <f t="shared" si="104"/>
        <v>146240649</v>
      </c>
      <c r="X211" s="345">
        <f t="shared" si="98"/>
        <v>38.037986138585097</v>
      </c>
      <c r="Y211" s="346">
        <f t="shared" si="99"/>
        <v>-26.52130635714067</v>
      </c>
      <c r="AA211" s="345">
        <f t="shared" si="100"/>
        <v>33.511972749298543</v>
      </c>
      <c r="AB211" s="346">
        <f t="shared" si="101"/>
        <v>-87.417757775006947</v>
      </c>
      <c r="AD211">
        <f t="shared" si="105"/>
        <v>0</v>
      </c>
      <c r="AE211">
        <f t="shared" si="80"/>
        <v>0</v>
      </c>
    </row>
    <row r="212" spans="1:31" x14ac:dyDescent="0.2">
      <c r="A212" s="347">
        <v>12163</v>
      </c>
      <c r="B212" s="364">
        <f t="shared" si="102"/>
        <v>12.163</v>
      </c>
      <c r="C212" s="337">
        <f t="shared" si="83"/>
        <v>24.159656477637174</v>
      </c>
      <c r="D212" s="338">
        <f t="shared" si="84"/>
        <v>1.5293931817842248</v>
      </c>
      <c r="E212" s="338">
        <f t="shared" si="85"/>
        <v>1.0001681888173515</v>
      </c>
      <c r="F212" s="339">
        <f t="shared" si="86"/>
        <v>1.8339315572598019E-2</v>
      </c>
      <c r="G212" s="338">
        <f t="shared" si="87"/>
        <v>1</v>
      </c>
      <c r="H212" s="339">
        <f t="shared" si="88"/>
        <v>0</v>
      </c>
      <c r="I212" s="337">
        <f t="shared" si="89"/>
        <v>2300.95497064544</v>
      </c>
      <c r="J212" s="340">
        <f t="shared" si="90"/>
        <v>1.5703617246213482</v>
      </c>
      <c r="K212" s="348">
        <f t="shared" si="81"/>
        <v>2.3888569251916003</v>
      </c>
      <c r="L212" s="349">
        <f t="shared" si="82"/>
        <v>1.1388818268851564</v>
      </c>
      <c r="M212" s="337">
        <f t="shared" si="91"/>
        <v>1.0004316696865472</v>
      </c>
      <c r="N212" s="340">
        <f t="shared" si="92"/>
        <v>2.9377353912837429E-2</v>
      </c>
      <c r="O212" s="341">
        <f t="shared" si="93"/>
        <v>0.99996296223930947</v>
      </c>
      <c r="P212" s="342">
        <f t="shared" si="94"/>
        <v>1.4893419085169118E-2</v>
      </c>
      <c r="Q212" s="343">
        <f t="shared" si="95"/>
        <v>14.693015670913692</v>
      </c>
      <c r="R212" s="344">
        <f t="shared" si="96"/>
        <v>-113.83551481451563</v>
      </c>
      <c r="S212" s="346">
        <f t="shared" si="97"/>
        <v>66.164485185484367</v>
      </c>
      <c r="U212" s="319">
        <f t="shared" si="103"/>
        <v>1000000000</v>
      </c>
      <c r="V212" s="319">
        <f t="shared" si="104"/>
        <v>147938569</v>
      </c>
      <c r="X212" s="345">
        <f t="shared" si="98"/>
        <v>38.029116171182643</v>
      </c>
      <c r="Y212" s="346">
        <f t="shared" si="99"/>
        <v>-26.405175507660186</v>
      </c>
      <c r="AA212" s="345">
        <f t="shared" si="100"/>
        <v>33.461946512647806</v>
      </c>
      <c r="AB212" s="346">
        <f t="shared" si="101"/>
        <v>-87.430339306855473</v>
      </c>
      <c r="AD212">
        <f t="shared" si="105"/>
        <v>0</v>
      </c>
      <c r="AE212">
        <f t="shared" si="80"/>
        <v>0</v>
      </c>
    </row>
    <row r="213" spans="1:31" x14ac:dyDescent="0.2">
      <c r="A213" s="347">
        <v>12233</v>
      </c>
      <c r="B213" s="364">
        <f t="shared" si="102"/>
        <v>12.233000000000001</v>
      </c>
      <c r="C213" s="337">
        <f t="shared" si="83"/>
        <v>24.298461610983423</v>
      </c>
      <c r="D213" s="338">
        <f t="shared" si="84"/>
        <v>1.529629831623782</v>
      </c>
      <c r="E213" s="338">
        <f t="shared" si="85"/>
        <v>1.000170130129755</v>
      </c>
      <c r="F213" s="339">
        <f t="shared" si="86"/>
        <v>1.8444837382786794E-2</v>
      </c>
      <c r="G213" s="338">
        <f t="shared" si="87"/>
        <v>1</v>
      </c>
      <c r="H213" s="339">
        <f t="shared" si="88"/>
        <v>0</v>
      </c>
      <c r="I213" s="337">
        <f t="shared" si="89"/>
        <v>2314.1973300641744</v>
      </c>
      <c r="J213" s="340">
        <f t="shared" si="90"/>
        <v>1.5703642115132266</v>
      </c>
      <c r="K213" s="348">
        <f t="shared" si="81"/>
        <v>2.4002016989682127</v>
      </c>
      <c r="L213" s="349">
        <f t="shared" si="82"/>
        <v>1.1410594121510849</v>
      </c>
      <c r="M213" s="337">
        <f t="shared" si="91"/>
        <v>1.0004366515522536</v>
      </c>
      <c r="N213" s="340">
        <f t="shared" si="92"/>
        <v>2.9546327158734374E-2</v>
      </c>
      <c r="O213" s="341">
        <f t="shared" si="93"/>
        <v>0.99996253481591235</v>
      </c>
      <c r="P213" s="342">
        <f t="shared" si="94"/>
        <v>1.4979145877446684E-2</v>
      </c>
      <c r="Q213" s="343">
        <f t="shared" si="95"/>
        <v>14.634539135340647</v>
      </c>
      <c r="R213" s="344">
        <f t="shared" si="96"/>
        <v>-113.73299717742755</v>
      </c>
      <c r="S213" s="346">
        <f t="shared" si="97"/>
        <v>66.267002822572451</v>
      </c>
      <c r="U213" s="319">
        <f t="shared" si="103"/>
        <v>1000000000</v>
      </c>
      <c r="V213" s="319">
        <f t="shared" si="104"/>
        <v>149646289</v>
      </c>
      <c r="X213" s="345">
        <f t="shared" si="98"/>
        <v>38.020379533794689</v>
      </c>
      <c r="Y213" s="346">
        <f t="shared" si="99"/>
        <v>-26.290233004510529</v>
      </c>
      <c r="AA213" s="345">
        <f t="shared" si="100"/>
        <v>33.412206614462718</v>
      </c>
      <c r="AB213" s="346">
        <f t="shared" si="101"/>
        <v>-87.442764172917038</v>
      </c>
      <c r="AD213">
        <f t="shared" si="105"/>
        <v>0</v>
      </c>
      <c r="AE213">
        <f t="shared" si="80"/>
        <v>0</v>
      </c>
    </row>
    <row r="214" spans="1:31" x14ac:dyDescent="0.2">
      <c r="A214" s="347">
        <v>12303</v>
      </c>
      <c r="B214" s="364">
        <f t="shared" si="102"/>
        <v>12.303000000000001</v>
      </c>
      <c r="C214" s="337">
        <f t="shared" si="83"/>
        <v>24.437268089661199</v>
      </c>
      <c r="D214" s="338">
        <f t="shared" si="84"/>
        <v>1.5298637930799892</v>
      </c>
      <c r="E214" s="338">
        <f t="shared" si="85"/>
        <v>1.000172082578862</v>
      </c>
      <c r="F214" s="339">
        <f t="shared" si="86"/>
        <v>1.8550358782169499E-2</v>
      </c>
      <c r="G214" s="338">
        <f t="shared" si="87"/>
        <v>1</v>
      </c>
      <c r="H214" s="339">
        <f t="shared" si="88"/>
        <v>0</v>
      </c>
      <c r="I214" s="337">
        <f t="shared" si="89"/>
        <v>2327.4396894970591</v>
      </c>
      <c r="J214" s="340">
        <f t="shared" si="90"/>
        <v>1.5703666701059262</v>
      </c>
      <c r="K214" s="348">
        <f t="shared" si="81"/>
        <v>2.4115577470917535</v>
      </c>
      <c r="L214" s="349">
        <f t="shared" si="82"/>
        <v>1.1432164990265481</v>
      </c>
      <c r="M214" s="337">
        <f t="shared" si="91"/>
        <v>1.0004416619820999</v>
      </c>
      <c r="N214" s="340">
        <f t="shared" si="92"/>
        <v>2.9715298716946077E-2</v>
      </c>
      <c r="O214" s="341">
        <f t="shared" si="93"/>
        <v>0.99996210494244109</v>
      </c>
      <c r="P214" s="342">
        <f t="shared" si="94"/>
        <v>1.5064872890016045E-2</v>
      </c>
      <c r="Q214" s="343">
        <f t="shared" si="95"/>
        <v>14.576476411963387</v>
      </c>
      <c r="R214" s="344">
        <f t="shared" si="96"/>
        <v>-113.63149829661994</v>
      </c>
      <c r="S214" s="346">
        <f t="shared" si="97"/>
        <v>66.368501703380062</v>
      </c>
      <c r="U214" s="319">
        <f t="shared" si="103"/>
        <v>1000000000</v>
      </c>
      <c r="V214" s="319">
        <f t="shared" si="104"/>
        <v>151363809</v>
      </c>
      <c r="X214" s="345">
        <f t="shared" si="98"/>
        <v>38.011773619840127</v>
      </c>
      <c r="Y214" s="346">
        <f t="shared" si="99"/>
        <v>-26.176463254501929</v>
      </c>
      <c r="AA214" s="345">
        <f t="shared" si="100"/>
        <v>33.362749805040018</v>
      </c>
      <c r="AB214" s="346">
        <f t="shared" si="101"/>
        <v>-87.455035042118013</v>
      </c>
      <c r="AD214">
        <f t="shared" si="105"/>
        <v>0</v>
      </c>
      <c r="AE214">
        <f t="shared" si="80"/>
        <v>0</v>
      </c>
    </row>
    <row r="215" spans="1:31" x14ac:dyDescent="0.2">
      <c r="A215" s="347">
        <v>12374.5</v>
      </c>
      <c r="B215" s="364">
        <f t="shared" si="102"/>
        <v>12.374499999999999</v>
      </c>
      <c r="C215" s="337">
        <f t="shared" si="83"/>
        <v>24.579050358066667</v>
      </c>
      <c r="D215" s="338">
        <f t="shared" si="84"/>
        <v>1.5301000399137135</v>
      </c>
      <c r="E215" s="338">
        <f t="shared" si="85"/>
        <v>1.0001740883633223</v>
      </c>
      <c r="F215" s="339">
        <f t="shared" si="86"/>
        <v>1.8658140927850442E-2</v>
      </c>
      <c r="G215" s="338">
        <f t="shared" si="87"/>
        <v>1</v>
      </c>
      <c r="H215" s="339">
        <f t="shared" si="88"/>
        <v>0</v>
      </c>
      <c r="I215" s="337">
        <f t="shared" si="89"/>
        <v>2340.9658137892916</v>
      </c>
      <c r="J215" s="340">
        <f t="shared" si="90"/>
        <v>1.5703691526667984</v>
      </c>
      <c r="K215" s="348">
        <f t="shared" ref="K215:K278" si="106">SQRT(1+(A215/Zero2)^2)</f>
        <v>2.4231686136178729</v>
      </c>
      <c r="L215" s="349">
        <f t="shared" ref="L215:L278" si="107">ATAN(A215/Zero2)</f>
        <v>1.1453989261470354</v>
      </c>
      <c r="M215" s="337">
        <f t="shared" si="91"/>
        <v>1.0004468092666852</v>
      </c>
      <c r="N215" s="340">
        <f t="shared" si="92"/>
        <v>2.9887889341936761E-2</v>
      </c>
      <c r="O215" s="341">
        <f t="shared" si="93"/>
        <v>0.99996166332805569</v>
      </c>
      <c r="P215" s="342">
        <f t="shared" si="94"/>
        <v>1.5152437138731325E-2</v>
      </c>
      <c r="Q215" s="343">
        <f t="shared" si="95"/>
        <v>14.517590728351422</v>
      </c>
      <c r="R215" s="344">
        <f t="shared" si="96"/>
        <v>-113.5288629343887</v>
      </c>
      <c r="S215" s="346">
        <f t="shared" si="97"/>
        <v>66.471137065611302</v>
      </c>
      <c r="U215" s="319">
        <f t="shared" si="103"/>
        <v>1000000000</v>
      </c>
      <c r="V215" s="319">
        <f t="shared" si="104"/>
        <v>153128250.25</v>
      </c>
      <c r="X215" s="345">
        <f t="shared" si="98"/>
        <v>38.003115602829297</v>
      </c>
      <c r="Y215" s="346">
        <f t="shared" si="99"/>
        <v>-26.06145034592755</v>
      </c>
      <c r="AA215" s="345">
        <f t="shared" si="100"/>
        <v>33.312522138438887</v>
      </c>
      <c r="AB215" s="346">
        <f t="shared" si="101"/>
        <v>-87.46741258846113</v>
      </c>
      <c r="AD215">
        <f t="shared" si="105"/>
        <v>0</v>
      </c>
      <c r="AE215">
        <f t="shared" si="80"/>
        <v>0</v>
      </c>
    </row>
    <row r="216" spans="1:31" x14ac:dyDescent="0.2">
      <c r="A216" s="347">
        <v>12446</v>
      </c>
      <c r="B216" s="364">
        <f t="shared" si="102"/>
        <v>12.446</v>
      </c>
      <c r="C216" s="337">
        <f t="shared" si="83"/>
        <v>24.720833982556279</v>
      </c>
      <c r="D216" s="338">
        <f t="shared" si="84"/>
        <v>1.5303335768248834</v>
      </c>
      <c r="E216" s="338">
        <f t="shared" si="85"/>
        <v>1.0001761057667493</v>
      </c>
      <c r="F216" s="339">
        <f t="shared" si="86"/>
        <v>1.876592263997991E-2</v>
      </c>
      <c r="G216" s="338">
        <f t="shared" si="87"/>
        <v>1</v>
      </c>
      <c r="H216" s="339">
        <f t="shared" si="88"/>
        <v>0</v>
      </c>
      <c r="I216" s="337">
        <f t="shared" si="89"/>
        <v>2354.4919380957858</v>
      </c>
      <c r="J216" s="340">
        <f t="shared" si="90"/>
        <v>1.570371606703957</v>
      </c>
      <c r="K216" s="348">
        <f t="shared" si="106"/>
        <v>2.4347909115585864</v>
      </c>
      <c r="L216" s="349">
        <f t="shared" si="107"/>
        <v>1.1475605281661394</v>
      </c>
      <c r="M216" s="337">
        <f t="shared" si="91"/>
        <v>1.0004519863517967</v>
      </c>
      <c r="N216" s="340">
        <f t="shared" si="92"/>
        <v>3.0060478185843034E-2</v>
      </c>
      <c r="O216" s="341">
        <f t="shared" si="93"/>
        <v>0.99996121915756819</v>
      </c>
      <c r="P216" s="342">
        <f t="shared" si="94"/>
        <v>1.5240001619938872E-2</v>
      </c>
      <c r="Q216" s="343">
        <f t="shared" si="95"/>
        <v>14.459124799215166</v>
      </c>
      <c r="R216" s="344">
        <f t="shared" si="96"/>
        <v>-113.4272637972751</v>
      </c>
      <c r="S216" s="346">
        <f t="shared" si="97"/>
        <v>66.572736202724897</v>
      </c>
      <c r="U216" s="319">
        <f t="shared" si="103"/>
        <v>1000000000</v>
      </c>
      <c r="V216" s="319">
        <f t="shared" si="104"/>
        <v>154902916</v>
      </c>
      <c r="X216" s="345">
        <f t="shared" si="98"/>
        <v>37.994588668850227</v>
      </c>
      <c r="Y216" s="346">
        <f t="shared" si="99"/>
        <v>-25.947628891434707</v>
      </c>
      <c r="AA216" s="345">
        <f t="shared" si="100"/>
        <v>33.262583143281702</v>
      </c>
      <c r="AB216" s="346">
        <f t="shared" si="101"/>
        <v>-87.479634905840371</v>
      </c>
      <c r="AD216">
        <f t="shared" si="105"/>
        <v>0</v>
      </c>
      <c r="AE216">
        <f t="shared" si="80"/>
        <v>0</v>
      </c>
    </row>
    <row r="217" spans="1:31" x14ac:dyDescent="0.2">
      <c r="A217" s="347">
        <v>12517.5</v>
      </c>
      <c r="B217" s="364">
        <f t="shared" si="102"/>
        <v>12.5175</v>
      </c>
      <c r="C217" s="337">
        <f t="shared" si="83"/>
        <v>24.86261893993008</v>
      </c>
      <c r="D217" s="338">
        <f t="shared" si="84"/>
        <v>1.5305644501497249</v>
      </c>
      <c r="E217" s="338">
        <f t="shared" si="85"/>
        <v>1.0001781347890724</v>
      </c>
      <c r="F217" s="339">
        <f t="shared" si="86"/>
        <v>1.8873703916056361E-2</v>
      </c>
      <c r="G217" s="338">
        <f t="shared" si="87"/>
        <v>1</v>
      </c>
      <c r="H217" s="339">
        <f t="shared" si="88"/>
        <v>0</v>
      </c>
      <c r="I217" s="337">
        <f t="shared" si="89"/>
        <v>2368.0180624162986</v>
      </c>
      <c r="J217" s="340">
        <f t="shared" si="90"/>
        <v>1.5703740327061844</v>
      </c>
      <c r="K217" s="348">
        <f t="shared" si="106"/>
        <v>2.4464244779912665</v>
      </c>
      <c r="L217" s="349">
        <f t="shared" si="107"/>
        <v>1.1497015818294611</v>
      </c>
      <c r="M217" s="337">
        <f t="shared" si="91"/>
        <v>1.0004571932369712</v>
      </c>
      <c r="N217" s="340">
        <f t="shared" si="92"/>
        <v>3.023306523841085E-2</v>
      </c>
      <c r="O217" s="341">
        <f t="shared" si="93"/>
        <v>0.99996077243102932</v>
      </c>
      <c r="P217" s="342">
        <f t="shared" si="94"/>
        <v>1.5327566334981894E-2</v>
      </c>
      <c r="Q217" s="343">
        <f t="shared" si="95"/>
        <v>14.401072750485051</v>
      </c>
      <c r="R217" s="344">
        <f t="shared" si="96"/>
        <v>-113.32668771143233</v>
      </c>
      <c r="S217" s="346">
        <f t="shared" si="97"/>
        <v>66.673312288567672</v>
      </c>
      <c r="U217" s="319">
        <f t="shared" si="103"/>
        <v>1000000000</v>
      </c>
      <c r="V217" s="319">
        <f t="shared" si="104"/>
        <v>156687806.25</v>
      </c>
      <c r="X217" s="345">
        <f t="shared" si="98"/>
        <v>37.986190233434492</v>
      </c>
      <c r="Y217" s="346">
        <f t="shared" si="99"/>
        <v>-25.834983062086081</v>
      </c>
      <c r="AA217" s="345">
        <f t="shared" si="100"/>
        <v>33.212929529967319</v>
      </c>
      <c r="AB217" s="346">
        <f t="shared" si="101"/>
        <v>-87.491704649346261</v>
      </c>
      <c r="AD217">
        <f t="shared" si="105"/>
        <v>0</v>
      </c>
      <c r="AE217">
        <f t="shared" si="80"/>
        <v>0</v>
      </c>
    </row>
    <row r="218" spans="1:31" x14ac:dyDescent="0.2">
      <c r="A218" s="347">
        <v>12589</v>
      </c>
      <c r="B218" s="364">
        <f t="shared" si="102"/>
        <v>12.589</v>
      </c>
      <c r="C218" s="337">
        <f t="shared" si="83"/>
        <v>25.004405207514118</v>
      </c>
      <c r="D218" s="338">
        <f t="shared" si="84"/>
        <v>1.5307927051746253</v>
      </c>
      <c r="E218" s="338">
        <f t="shared" si="85"/>
        <v>1.0001801754302213</v>
      </c>
      <c r="F218" s="339">
        <f t="shared" si="86"/>
        <v>1.8981484753578304E-2</v>
      </c>
      <c r="G218" s="338">
        <f t="shared" si="87"/>
        <v>1</v>
      </c>
      <c r="H218" s="339">
        <f t="shared" si="88"/>
        <v>0</v>
      </c>
      <c r="I218" s="337">
        <f t="shared" si="89"/>
        <v>2381.5441867505892</v>
      </c>
      <c r="J218" s="340">
        <f t="shared" si="90"/>
        <v>1.570376431151159</v>
      </c>
      <c r="K218" s="348">
        <f t="shared" si="106"/>
        <v>2.4580691529211309</v>
      </c>
      <c r="L218" s="349">
        <f t="shared" si="107"/>
        <v>1.1518223593996693</v>
      </c>
      <c r="M218" s="337">
        <f t="shared" si="91"/>
        <v>1.0004624299217442</v>
      </c>
      <c r="N218" s="340">
        <f t="shared" si="92"/>
        <v>3.0405650489386808E-2</v>
      </c>
      <c r="O218" s="341">
        <f t="shared" si="93"/>
        <v>0.9999603231484907</v>
      </c>
      <c r="P218" s="342">
        <f t="shared" si="94"/>
        <v>1.5415131285203594E-2</v>
      </c>
      <c r="Q218" s="343">
        <f t="shared" si="95"/>
        <v>14.343428825488722</v>
      </c>
      <c r="R218" s="344">
        <f t="shared" si="96"/>
        <v>-113.22712169907922</v>
      </c>
      <c r="S218" s="346">
        <f t="shared" si="97"/>
        <v>66.77287830092078</v>
      </c>
      <c r="U218" s="319">
        <f t="shared" si="103"/>
        <v>1000000000</v>
      </c>
      <c r="V218" s="319">
        <f t="shared" si="104"/>
        <v>158482921</v>
      </c>
      <c r="X218" s="345">
        <f t="shared" si="98"/>
        <v>37.977917773666221</v>
      </c>
      <c r="Y218" s="346">
        <f t="shared" si="99"/>
        <v>-25.723497285161322</v>
      </c>
      <c r="AA218" s="345">
        <f t="shared" si="100"/>
        <v>33.163558064739263</v>
      </c>
      <c r="AB218" s="346">
        <f t="shared" si="101"/>
        <v>-87.503624413917905</v>
      </c>
      <c r="AD218">
        <f t="shared" si="105"/>
        <v>0</v>
      </c>
      <c r="AE218">
        <f t="shared" ref="AE218:AE281" si="108">IF(AD218&gt;0,S218,0)</f>
        <v>0</v>
      </c>
    </row>
    <row r="219" spans="1:31" x14ac:dyDescent="0.2">
      <c r="A219" s="347">
        <v>12662.25</v>
      </c>
      <c r="B219" s="364">
        <f t="shared" si="102"/>
        <v>12.66225</v>
      </c>
      <c r="C219" s="337">
        <f t="shared" si="83"/>
        <v>25.149663103898106</v>
      </c>
      <c r="D219" s="338">
        <f t="shared" si="84"/>
        <v>1.5310238779230336</v>
      </c>
      <c r="E219" s="338">
        <f t="shared" si="85"/>
        <v>1.0001822780659291</v>
      </c>
      <c r="F219" s="339">
        <f t="shared" si="86"/>
        <v>1.9091903126225187E-2</v>
      </c>
      <c r="G219" s="338">
        <f t="shared" si="87"/>
        <v>1</v>
      </c>
      <c r="H219" s="339">
        <f t="shared" si="88"/>
        <v>0</v>
      </c>
      <c r="I219" s="337">
        <f t="shared" si="89"/>
        <v>2395.4013700861274</v>
      </c>
      <c r="J219" s="340">
        <f t="shared" si="90"/>
        <v>1.5703788602101587</v>
      </c>
      <c r="K219" s="348">
        <f t="shared" si="106"/>
        <v>2.4700101927753808</v>
      </c>
      <c r="L219" s="349">
        <f t="shared" si="107"/>
        <v>1.1539742975575129</v>
      </c>
      <c r="M219" s="337">
        <f t="shared" si="91"/>
        <v>1.000467825679199</v>
      </c>
      <c r="N219" s="340">
        <f t="shared" si="92"/>
        <v>3.0582457975904306E-2</v>
      </c>
      <c r="O219" s="341">
        <f t="shared" si="93"/>
        <v>0.99995986021897554</v>
      </c>
      <c r="P219" s="342">
        <f t="shared" si="94"/>
        <v>1.5504839678795226E-2</v>
      </c>
      <c r="Q219" s="343">
        <f t="shared" si="95"/>
        <v>14.284791366648719</v>
      </c>
      <c r="R219" s="344">
        <f t="shared" si="96"/>
        <v>-113.12615285076747</v>
      </c>
      <c r="S219" s="346">
        <f t="shared" si="97"/>
        <v>66.873847149232532</v>
      </c>
      <c r="U219" s="319">
        <f t="shared" si="103"/>
        <v>1000000000</v>
      </c>
      <c r="V219" s="319">
        <f t="shared" si="104"/>
        <v>160332575.0625</v>
      </c>
      <c r="X219" s="345">
        <f t="shared" si="98"/>
        <v>37.969570904770336</v>
      </c>
      <c r="Y219" s="346">
        <f t="shared" si="99"/>
        <v>-25.610469808407206</v>
      </c>
      <c r="AA219" s="345">
        <f t="shared" si="100"/>
        <v>33.113267474795151</v>
      </c>
      <c r="AB219" s="346">
        <f t="shared" si="101"/>
        <v>-87.515683042360251</v>
      </c>
      <c r="AD219">
        <f t="shared" si="105"/>
        <v>0</v>
      </c>
      <c r="AE219">
        <f t="shared" si="108"/>
        <v>0</v>
      </c>
    </row>
    <row r="220" spans="1:31" x14ac:dyDescent="0.2">
      <c r="A220" s="347">
        <v>12735.5</v>
      </c>
      <c r="B220" s="364">
        <f t="shared" si="102"/>
        <v>12.7355</v>
      </c>
      <c r="C220" s="337">
        <f t="shared" si="83"/>
        <v>25.294922328864914</v>
      </c>
      <c r="D220" s="338">
        <f t="shared" si="84"/>
        <v>1.5312523956072472</v>
      </c>
      <c r="E220" s="338">
        <f t="shared" si="85"/>
        <v>1.000184392896025</v>
      </c>
      <c r="F220" s="339">
        <f t="shared" si="86"/>
        <v>1.9202321033272216E-2</v>
      </c>
      <c r="G220" s="338">
        <f t="shared" si="87"/>
        <v>1</v>
      </c>
      <c r="H220" s="339">
        <f t="shared" si="88"/>
        <v>0</v>
      </c>
      <c r="I220" s="337">
        <f t="shared" si="89"/>
        <v>2409.2585534356363</v>
      </c>
      <c r="J220" s="340">
        <f t="shared" si="90"/>
        <v>1.5703812613270218</v>
      </c>
      <c r="K220" s="348">
        <f t="shared" si="106"/>
        <v>2.4819625607541083</v>
      </c>
      <c r="L220" s="349">
        <f t="shared" si="107"/>
        <v>1.1561055193616629</v>
      </c>
      <c r="M220" s="337">
        <f t="shared" si="91"/>
        <v>1.0004732527118279</v>
      </c>
      <c r="N220" s="340">
        <f t="shared" si="92"/>
        <v>3.0759263549776636E-2</v>
      </c>
      <c r="O220" s="341">
        <f t="shared" si="93"/>
        <v>0.99995939460692052</v>
      </c>
      <c r="P220" s="342">
        <f t="shared" si="94"/>
        <v>1.5594548322072676E-2</v>
      </c>
      <c r="Q220" s="343">
        <f t="shared" si="95"/>
        <v>14.22657038743764</v>
      </c>
      <c r="R220" s="344">
        <f t="shared" si="96"/>
        <v>-113.0262171685476</v>
      </c>
      <c r="S220" s="346">
        <f t="shared" si="97"/>
        <v>66.973782831452397</v>
      </c>
      <c r="U220" s="319">
        <f t="shared" si="103"/>
        <v>1000000000</v>
      </c>
      <c r="V220" s="319">
        <f t="shared" si="104"/>
        <v>162192960.25</v>
      </c>
      <c r="X220" s="345">
        <f t="shared" si="98"/>
        <v>37.961351083704884</v>
      </c>
      <c r="Y220" s="346">
        <f t="shared" si="99"/>
        <v>-25.498627580735008</v>
      </c>
      <c r="AA220" s="345">
        <f t="shared" si="100"/>
        <v>33.063266316649518</v>
      </c>
      <c r="AB220" s="346">
        <f t="shared" si="101"/>
        <v>-87.527589587812599</v>
      </c>
      <c r="AD220">
        <f t="shared" si="105"/>
        <v>0</v>
      </c>
      <c r="AE220">
        <f t="shared" si="108"/>
        <v>0</v>
      </c>
    </row>
    <row r="221" spans="1:31" x14ac:dyDescent="0.2">
      <c r="A221" s="347">
        <v>12808.75</v>
      </c>
      <c r="B221" s="364">
        <f t="shared" si="102"/>
        <v>12.80875</v>
      </c>
      <c r="C221" s="337">
        <f t="shared" si="83"/>
        <v>25.440182859656581</v>
      </c>
      <c r="D221" s="338">
        <f t="shared" si="84"/>
        <v>1.5314783036835304</v>
      </c>
      <c r="E221" s="338">
        <f t="shared" si="85"/>
        <v>1.0001865199204314</v>
      </c>
      <c r="F221" s="339">
        <f t="shared" si="86"/>
        <v>1.931273847202989E-2</v>
      </c>
      <c r="G221" s="338">
        <f t="shared" si="87"/>
        <v>1</v>
      </c>
      <c r="H221" s="339">
        <f t="shared" si="88"/>
        <v>0</v>
      </c>
      <c r="I221" s="337">
        <f t="shared" si="89"/>
        <v>2423.1157367988767</v>
      </c>
      <c r="J221" s="340">
        <f t="shared" si="90"/>
        <v>1.57038363498113</v>
      </c>
      <c r="K221" s="348">
        <f t="shared" si="106"/>
        <v>2.4939260939841117</v>
      </c>
      <c r="L221" s="349">
        <f t="shared" si="107"/>
        <v>1.1582163034446198</v>
      </c>
      <c r="M221" s="337">
        <f t="shared" si="91"/>
        <v>1.0004787110191218</v>
      </c>
      <c r="N221" s="340">
        <f t="shared" si="92"/>
        <v>3.0936067199981061E-2</v>
      </c>
      <c r="O221" s="341">
        <f t="shared" si="93"/>
        <v>0.9999589263123817</v>
      </c>
      <c r="P221" s="342">
        <f t="shared" si="94"/>
        <v>1.5684257216480202E-2</v>
      </c>
      <c r="Q221" s="343">
        <f t="shared" si="95"/>
        <v>14.168760062259732</v>
      </c>
      <c r="R221" s="344">
        <f t="shared" si="96"/>
        <v>-112.92730131947721</v>
      </c>
      <c r="S221" s="346">
        <f t="shared" si="97"/>
        <v>67.072698680522791</v>
      </c>
      <c r="U221" s="319">
        <f t="shared" si="103"/>
        <v>1000000000</v>
      </c>
      <c r="V221" s="319">
        <f t="shared" si="104"/>
        <v>164064076.5625</v>
      </c>
      <c r="X221" s="345">
        <f t="shared" si="98"/>
        <v>37.95325578771228</v>
      </c>
      <c r="Y221" s="346">
        <f t="shared" si="99"/>
        <v>-25.387954664513366</v>
      </c>
      <c r="AA221" s="345">
        <f t="shared" si="100"/>
        <v>33.013551287464217</v>
      </c>
      <c r="AB221" s="346">
        <f t="shared" si="101"/>
        <v>-87.539346654963836</v>
      </c>
      <c r="AD221">
        <f t="shared" si="105"/>
        <v>0</v>
      </c>
      <c r="AE221">
        <f t="shared" si="108"/>
        <v>0</v>
      </c>
    </row>
    <row r="222" spans="1:31" x14ac:dyDescent="0.2">
      <c r="A222" s="347">
        <v>12882</v>
      </c>
      <c r="B222" s="364">
        <f t="shared" si="102"/>
        <v>12.882</v>
      </c>
      <c r="C222" s="337">
        <f t="shared" si="83"/>
        <v>25.585444674031766</v>
      </c>
      <c r="D222" s="338">
        <f t="shared" si="84"/>
        <v>1.5317016465769122</v>
      </c>
      <c r="E222" s="338">
        <f t="shared" si="85"/>
        <v>1.000188659139071</v>
      </c>
      <c r="F222" s="339">
        <f t="shared" si="86"/>
        <v>1.9423155439808791E-2</v>
      </c>
      <c r="G222" s="338">
        <f t="shared" si="87"/>
        <v>1</v>
      </c>
      <c r="H222" s="339">
        <f t="shared" si="88"/>
        <v>0</v>
      </c>
      <c r="I222" s="337">
        <f t="shared" si="89"/>
        <v>2436.9729201756145</v>
      </c>
      <c r="J222" s="340">
        <f t="shared" si="90"/>
        <v>1.570385981640962</v>
      </c>
      <c r="K222" s="348">
        <f t="shared" si="106"/>
        <v>2.5059006325518087</v>
      </c>
      <c r="L222" s="349">
        <f t="shared" si="107"/>
        <v>1.1603069238490009</v>
      </c>
      <c r="M222" s="337">
        <f t="shared" si="91"/>
        <v>1.0004842006005692</v>
      </c>
      <c r="N222" s="340">
        <f t="shared" si="92"/>
        <v>3.1112868915495549E-2</v>
      </c>
      <c r="O222" s="341">
        <f t="shared" si="93"/>
        <v>0.99995845533541572</v>
      </c>
      <c r="P222" s="342">
        <f t="shared" si="94"/>
        <v>1.5773966363462046E-2</v>
      </c>
      <c r="Q222" s="343">
        <f t="shared" si="95"/>
        <v>14.111354682230013</v>
      </c>
      <c r="R222" s="344">
        <f t="shared" si="96"/>
        <v>-112.82939217388476</v>
      </c>
      <c r="S222" s="346">
        <f t="shared" si="97"/>
        <v>67.170607826115244</v>
      </c>
      <c r="U222" s="319">
        <f t="shared" si="103"/>
        <v>1000000000</v>
      </c>
      <c r="V222" s="319">
        <f t="shared" si="104"/>
        <v>165945924</v>
      </c>
      <c r="X222" s="345">
        <f t="shared" si="98"/>
        <v>37.945282554593753</v>
      </c>
      <c r="Y222" s="346">
        <f t="shared" si="99"/>
        <v>-25.278435384467233</v>
      </c>
      <c r="AA222" s="345">
        <f t="shared" si="100"/>
        <v>32.964119140553024</v>
      </c>
      <c r="AB222" s="346">
        <f t="shared" si="101"/>
        <v>-87.55095678941754</v>
      </c>
      <c r="AD222">
        <f t="shared" si="105"/>
        <v>0</v>
      </c>
      <c r="AE222">
        <f t="shared" si="108"/>
        <v>0</v>
      </c>
    </row>
    <row r="223" spans="1:31" x14ac:dyDescent="0.2">
      <c r="A223" s="347">
        <v>12957.25</v>
      </c>
      <c r="B223" s="364">
        <f t="shared" si="102"/>
        <v>12.95725</v>
      </c>
      <c r="C223" s="337">
        <f t="shared" si="83"/>
        <v>25.734673995082623</v>
      </c>
      <c r="D223" s="338">
        <f t="shared" si="84"/>
        <v>1.5319284619939826</v>
      </c>
      <c r="E223" s="338">
        <f t="shared" si="85"/>
        <v>1.000190869464529</v>
      </c>
      <c r="F223" s="339">
        <f t="shared" si="86"/>
        <v>1.9536586712073183E-2</v>
      </c>
      <c r="G223" s="338">
        <f t="shared" si="87"/>
        <v>1</v>
      </c>
      <c r="H223" s="339">
        <f t="shared" si="88"/>
        <v>0</v>
      </c>
      <c r="I223" s="337">
        <f t="shared" si="89"/>
        <v>2451.208456695907</v>
      </c>
      <c r="J223" s="340">
        <f t="shared" si="90"/>
        <v>1.5703883647445833</v>
      </c>
      <c r="K223" s="348">
        <f t="shared" si="106"/>
        <v>2.5182134161742638</v>
      </c>
      <c r="L223" s="349">
        <f t="shared" si="107"/>
        <v>1.1624339122276222</v>
      </c>
      <c r="M223" s="337">
        <f t="shared" si="91"/>
        <v>1.0004898726343214</v>
      </c>
      <c r="N223" s="340">
        <f t="shared" si="92"/>
        <v>3.1294495955375513E-2</v>
      </c>
      <c r="O223" s="341">
        <f t="shared" si="93"/>
        <v>0.99995796870578235</v>
      </c>
      <c r="P223" s="342">
        <f t="shared" si="94"/>
        <v>1.5866125171478961E-2</v>
      </c>
      <c r="Q223" s="343">
        <f t="shared" si="95"/>
        <v>14.05279772209051</v>
      </c>
      <c r="R223" s="344">
        <f t="shared" si="96"/>
        <v>-112.72984446491826</v>
      </c>
      <c r="S223" s="346">
        <f t="shared" si="97"/>
        <v>67.270155535081742</v>
      </c>
      <c r="U223" s="319">
        <f t="shared" si="103"/>
        <v>1000000000</v>
      </c>
      <c r="V223" s="319">
        <f t="shared" si="104"/>
        <v>167890327.5625</v>
      </c>
      <c r="X223" s="345">
        <f t="shared" si="98"/>
        <v>37.937216204790843</v>
      </c>
      <c r="Y223" s="346">
        <f t="shared" si="99"/>
        <v>-25.167110931781881</v>
      </c>
      <c r="AA223" s="345">
        <f t="shared" si="100"/>
        <v>32.913628530216435</v>
      </c>
      <c r="AB223" s="346">
        <f t="shared" si="101"/>
        <v>-87.562733533136409</v>
      </c>
      <c r="AD223">
        <f t="shared" si="105"/>
        <v>0</v>
      </c>
      <c r="AE223">
        <f t="shared" si="108"/>
        <v>0</v>
      </c>
    </row>
    <row r="224" spans="1:31" x14ac:dyDescent="0.2">
      <c r="A224" s="347">
        <v>13032.5</v>
      </c>
      <c r="B224" s="364">
        <f t="shared" si="102"/>
        <v>13.032500000000001</v>
      </c>
      <c r="C224" s="337">
        <f t="shared" si="83"/>
        <v>25.883904624794003</v>
      </c>
      <c r="D224" s="338">
        <f t="shared" si="84"/>
        <v>1.5321526620668717</v>
      </c>
      <c r="E224" s="338">
        <f t="shared" si="85"/>
        <v>1.0001930926590394</v>
      </c>
      <c r="F224" s="339">
        <f t="shared" si="86"/>
        <v>1.9650017481534852E-2</v>
      </c>
      <c r="G224" s="338">
        <f t="shared" si="87"/>
        <v>1</v>
      </c>
      <c r="H224" s="339">
        <f t="shared" si="88"/>
        <v>0</v>
      </c>
      <c r="I224" s="337">
        <f t="shared" si="89"/>
        <v>2465.4439932299597</v>
      </c>
      <c r="J224" s="340">
        <f t="shared" si="90"/>
        <v>1.5703907203280025</v>
      </c>
      <c r="K224" s="348">
        <f t="shared" si="106"/>
        <v>2.5305374814992212</v>
      </c>
      <c r="L224" s="349">
        <f t="shared" si="107"/>
        <v>1.1645401926065977</v>
      </c>
      <c r="M224" s="337">
        <f t="shared" si="91"/>
        <v>1.0004955776722406</v>
      </c>
      <c r="N224" s="340">
        <f t="shared" si="92"/>
        <v>3.1476120929895157E-2</v>
      </c>
      <c r="O224" s="341">
        <f t="shared" si="93"/>
        <v>0.99995747924536305</v>
      </c>
      <c r="P224" s="342">
        <f t="shared" si="94"/>
        <v>1.5958284249140947E-2</v>
      </c>
      <c r="Q224" s="343">
        <f t="shared" si="95"/>
        <v>13.994656273495099</v>
      </c>
      <c r="R224" s="344">
        <f t="shared" si="96"/>
        <v>-112.63133173788141</v>
      </c>
      <c r="S224" s="346">
        <f t="shared" si="97"/>
        <v>67.368668262118589</v>
      </c>
      <c r="U224" s="319">
        <f t="shared" si="103"/>
        <v>1000000000</v>
      </c>
      <c r="V224" s="319">
        <f t="shared" si="104"/>
        <v>169846056.25</v>
      </c>
      <c r="X224" s="345">
        <f t="shared" si="98"/>
        <v>37.929273595579936</v>
      </c>
      <c r="Y224" s="346">
        <f t="shared" si="99"/>
        <v>-25.056971264951873</v>
      </c>
      <c r="AA224" s="345">
        <f t="shared" si="100"/>
        <v>32.863429690831929</v>
      </c>
      <c r="AB224" s="346">
        <f t="shared" si="101"/>
        <v>-87.574360472929541</v>
      </c>
      <c r="AD224">
        <f t="shared" si="105"/>
        <v>0</v>
      </c>
      <c r="AE224">
        <f t="shared" si="108"/>
        <v>0</v>
      </c>
    </row>
    <row r="225" spans="1:31" x14ac:dyDescent="0.2">
      <c r="A225" s="347">
        <v>13107.75</v>
      </c>
      <c r="B225" s="364">
        <f t="shared" si="102"/>
        <v>13.107749999999999</v>
      </c>
      <c r="C225" s="337">
        <f t="shared" si="83"/>
        <v>26.033136540660866</v>
      </c>
      <c r="D225" s="338">
        <f t="shared" si="84"/>
        <v>1.5323742917493099</v>
      </c>
      <c r="E225" s="338">
        <f t="shared" si="85"/>
        <v>1.0001953287225165</v>
      </c>
      <c r="F225" s="339">
        <f t="shared" si="86"/>
        <v>1.9763447745278235E-2</v>
      </c>
      <c r="G225" s="338">
        <f t="shared" si="87"/>
        <v>1</v>
      </c>
      <c r="H225" s="339">
        <f t="shared" si="88"/>
        <v>0</v>
      </c>
      <c r="I225" s="337">
        <f t="shared" si="89"/>
        <v>2479.6795297775352</v>
      </c>
      <c r="J225" s="340">
        <f t="shared" si="90"/>
        <v>1.5703930488651896</v>
      </c>
      <c r="K225" s="348">
        <f t="shared" si="106"/>
        <v>2.542872664495933</v>
      </c>
      <c r="L225" s="349">
        <f t="shared" si="107"/>
        <v>1.1666260475166454</v>
      </c>
      <c r="M225" s="337">
        <f t="shared" si="91"/>
        <v>1.0005013157137621</v>
      </c>
      <c r="N225" s="340">
        <f t="shared" si="92"/>
        <v>3.1657743827107156E-2</v>
      </c>
      <c r="O225" s="341">
        <f t="shared" si="93"/>
        <v>0.99995698695422031</v>
      </c>
      <c r="P225" s="342">
        <f t="shared" si="94"/>
        <v>1.6050443598013817E-2</v>
      </c>
      <c r="Q225" s="343">
        <f t="shared" si="95"/>
        <v>13.936924512532542</v>
      </c>
      <c r="R225" s="344">
        <f t="shared" si="96"/>
        <v>-112.53384040734413</v>
      </c>
      <c r="S225" s="346">
        <f t="shared" si="97"/>
        <v>67.46615959265587</v>
      </c>
      <c r="U225" s="319">
        <f t="shared" si="103"/>
        <v>1000000000</v>
      </c>
      <c r="V225" s="319">
        <f t="shared" si="104"/>
        <v>171813110.0625</v>
      </c>
      <c r="X225" s="345">
        <f t="shared" si="98"/>
        <v>37.921452246143922</v>
      </c>
      <c r="Y225" s="346">
        <f t="shared" si="99"/>
        <v>-24.948000222631414</v>
      </c>
      <c r="AA225" s="345">
        <f t="shared" si="100"/>
        <v>32.813519279305382</v>
      </c>
      <c r="AB225" s="346">
        <f t="shared" si="101"/>
        <v>-87.585840184712737</v>
      </c>
      <c r="AD225">
        <f t="shared" si="105"/>
        <v>0</v>
      </c>
      <c r="AE225">
        <f t="shared" si="108"/>
        <v>0</v>
      </c>
    </row>
    <row r="226" spans="1:31" x14ac:dyDescent="0.2">
      <c r="A226" s="347">
        <v>13183</v>
      </c>
      <c r="B226" s="364">
        <f t="shared" si="102"/>
        <v>13.183</v>
      </c>
      <c r="C226" s="337">
        <f t="shared" si="83"/>
        <v>26.182369720691067</v>
      </c>
      <c r="D226" s="338">
        <f t="shared" si="84"/>
        <v>1.532593394971149</v>
      </c>
      <c r="E226" s="338">
        <f t="shared" si="85"/>
        <v>1.0001975776548737</v>
      </c>
      <c r="F226" s="339">
        <f t="shared" si="86"/>
        <v>1.9876877500387854E-2</v>
      </c>
      <c r="G226" s="338">
        <f t="shared" si="87"/>
        <v>1</v>
      </c>
      <c r="H226" s="339">
        <f t="shared" si="88"/>
        <v>0</v>
      </c>
      <c r="I226" s="337">
        <f t="shared" si="89"/>
        <v>2493.9150663384025</v>
      </c>
      <c r="J226" s="340">
        <f t="shared" si="90"/>
        <v>1.5703953508192932</v>
      </c>
      <c r="K226" s="348">
        <f t="shared" si="106"/>
        <v>2.5552188041544963</v>
      </c>
      <c r="L226" s="349">
        <f t="shared" si="107"/>
        <v>1.1686917547463669</v>
      </c>
      <c r="M226" s="337">
        <f t="shared" si="91"/>
        <v>1.0005070867583179</v>
      </c>
      <c r="N226" s="340">
        <f t="shared" si="92"/>
        <v>3.1839364635065003E-2</v>
      </c>
      <c r="O226" s="341">
        <f t="shared" si="93"/>
        <v>0.99995649183241675</v>
      </c>
      <c r="P226" s="342">
        <f t="shared" si="94"/>
        <v>1.6142603219663362E-2</v>
      </c>
      <c r="Q226" s="343">
        <f t="shared" si="95"/>
        <v>13.879596732535406</v>
      </c>
      <c r="R226" s="344">
        <f t="shared" si="96"/>
        <v>-112.43735710029586</v>
      </c>
      <c r="S226" s="346">
        <f t="shared" si="97"/>
        <v>67.562642899704144</v>
      </c>
      <c r="U226" s="319">
        <f t="shared" si="103"/>
        <v>1000000000</v>
      </c>
      <c r="V226" s="319">
        <f t="shared" si="104"/>
        <v>173791489</v>
      </c>
      <c r="X226" s="345">
        <f t="shared" si="98"/>
        <v>37.913749735837683</v>
      </c>
      <c r="Y226" s="346">
        <f t="shared" si="99"/>
        <v>-24.840181914558023</v>
      </c>
      <c r="AA226" s="345">
        <f t="shared" si="100"/>
        <v>32.763894009614482</v>
      </c>
      <c r="AB226" s="346">
        <f t="shared" si="101"/>
        <v>-87.597175185737839</v>
      </c>
      <c r="AD226">
        <f t="shared" si="105"/>
        <v>0</v>
      </c>
      <c r="AE226">
        <f t="shared" si="108"/>
        <v>0</v>
      </c>
    </row>
    <row r="227" spans="1:31" x14ac:dyDescent="0.2">
      <c r="A227" s="347">
        <v>13259.75</v>
      </c>
      <c r="B227" s="364">
        <f t="shared" si="102"/>
        <v>13.25975</v>
      </c>
      <c r="C227" s="337">
        <f t="shared" si="83"/>
        <v>26.334578928424062</v>
      </c>
      <c r="D227" s="338">
        <f t="shared" si="84"/>
        <v>1.5328143077106096</v>
      </c>
      <c r="E227" s="338">
        <f t="shared" si="85"/>
        <v>1.0001998846725781</v>
      </c>
      <c r="F227" s="339">
        <f t="shared" si="86"/>
        <v>1.9992567786772612E-2</v>
      </c>
      <c r="G227" s="338">
        <f t="shared" si="87"/>
        <v>1</v>
      </c>
      <c r="H227" s="339">
        <f t="shared" si="88"/>
        <v>0</v>
      </c>
      <c r="I227" s="337">
        <f t="shared" si="89"/>
        <v>2508.4343677611159</v>
      </c>
      <c r="J227" s="340">
        <f t="shared" si="90"/>
        <v>1.5703976717456198</v>
      </c>
      <c r="K227" s="348">
        <f t="shared" si="106"/>
        <v>2.5678221688324077</v>
      </c>
      <c r="L227" s="349">
        <f t="shared" si="107"/>
        <v>1.1707781679617264</v>
      </c>
      <c r="M227" s="337">
        <f t="shared" si="91"/>
        <v>1.0005130068361077</v>
      </c>
      <c r="N227" s="340">
        <f t="shared" si="92"/>
        <v>3.2024603626828636E-2</v>
      </c>
      <c r="O227" s="341">
        <f t="shared" si="93"/>
        <v>0.99995598392527985</v>
      </c>
      <c r="P227" s="342">
        <f t="shared" si="94"/>
        <v>1.6236600192793625E-2</v>
      </c>
      <c r="Q227" s="343">
        <f t="shared" si="95"/>
        <v>13.821536548046005</v>
      </c>
      <c r="R227" s="344">
        <f t="shared" si="96"/>
        <v>-112.33997525265521</v>
      </c>
      <c r="S227" s="346">
        <f t="shared" si="97"/>
        <v>67.660024747344792</v>
      </c>
      <c r="U227" s="319">
        <f t="shared" si="103"/>
        <v>1000000000</v>
      </c>
      <c r="V227" s="319">
        <f t="shared" si="104"/>
        <v>175820970.0625</v>
      </c>
      <c r="X227" s="345">
        <f t="shared" si="98"/>
        <v>37.906013654045324</v>
      </c>
      <c r="Y227" s="346">
        <f t="shared" si="99"/>
        <v>-24.731385634585678</v>
      </c>
      <c r="AA227" s="345">
        <f t="shared" si="100"/>
        <v>32.713569906917442</v>
      </c>
      <c r="AB227" s="346">
        <f t="shared" si="101"/>
        <v>-87.608589618069502</v>
      </c>
      <c r="AD227">
        <f t="shared" si="105"/>
        <v>0</v>
      </c>
      <c r="AE227">
        <f t="shared" si="108"/>
        <v>0</v>
      </c>
    </row>
    <row r="228" spans="1:31" x14ac:dyDescent="0.2">
      <c r="A228" s="347">
        <v>13336.5</v>
      </c>
      <c r="B228" s="364">
        <f t="shared" si="102"/>
        <v>13.336499999999999</v>
      </c>
      <c r="C228" s="337">
        <f t="shared" si="83"/>
        <v>26.486789406577696</v>
      </c>
      <c r="D228" s="338">
        <f t="shared" si="84"/>
        <v>1.5330326814414041</v>
      </c>
      <c r="E228" s="338">
        <f t="shared" si="85"/>
        <v>1.0002022050771384</v>
      </c>
      <c r="F228" s="339">
        <f t="shared" si="86"/>
        <v>2.0108257537917784E-2</v>
      </c>
      <c r="G228" s="338">
        <f t="shared" si="87"/>
        <v>1</v>
      </c>
      <c r="H228" s="339">
        <f t="shared" si="88"/>
        <v>0</v>
      </c>
      <c r="I228" s="337">
        <f t="shared" si="89"/>
        <v>2522.9536691971862</v>
      </c>
      <c r="J228" s="340">
        <f t="shared" si="90"/>
        <v>1.5703999659586305</v>
      </c>
      <c r="K228" s="348">
        <f t="shared" si="106"/>
        <v>2.5804366023288878</v>
      </c>
      <c r="L228" s="349">
        <f t="shared" si="107"/>
        <v>1.1728441912854852</v>
      </c>
      <c r="M228" s="337">
        <f t="shared" si="91"/>
        <v>1.0005189612445775</v>
      </c>
      <c r="N228" s="340">
        <f t="shared" si="92"/>
        <v>3.22098404201153E-2</v>
      </c>
      <c r="O228" s="341">
        <f t="shared" si="93"/>
        <v>0.99995547307363986</v>
      </c>
      <c r="P228" s="342">
        <f t="shared" si="94"/>
        <v>1.6330597452973925E-2</v>
      </c>
      <c r="Q228" s="343">
        <f t="shared" si="95"/>
        <v>13.763884979139174</v>
      </c>
      <c r="R228" s="344">
        <f t="shared" si="96"/>
        <v>-112.24361457585842</v>
      </c>
      <c r="S228" s="346">
        <f t="shared" si="97"/>
        <v>67.756385424141584</v>
      </c>
      <c r="U228" s="319">
        <f t="shared" si="103"/>
        <v>1000000000</v>
      </c>
      <c r="V228" s="319">
        <f t="shared" si="104"/>
        <v>177862232.25</v>
      </c>
      <c r="X228" s="345">
        <f t="shared" si="98"/>
        <v>37.898396293901705</v>
      </c>
      <c r="Y228" s="346">
        <f t="shared" si="99"/>
        <v>-24.6237559528244</v>
      </c>
      <c r="AA228" s="345">
        <f t="shared" si="100"/>
        <v>32.663535698154227</v>
      </c>
      <c r="AB228" s="346">
        <f t="shared" si="101"/>
        <v>-87.61985862303402</v>
      </c>
      <c r="AD228">
        <f t="shared" si="105"/>
        <v>0</v>
      </c>
      <c r="AE228">
        <f t="shared" si="108"/>
        <v>0</v>
      </c>
    </row>
    <row r="229" spans="1:31" x14ac:dyDescent="0.2">
      <c r="A229" s="347">
        <v>13413.25</v>
      </c>
      <c r="B229" s="364">
        <f t="shared" si="102"/>
        <v>13.41325</v>
      </c>
      <c r="C229" s="337">
        <f t="shared" si="83"/>
        <v>26.639001133375107</v>
      </c>
      <c r="D229" s="338">
        <f t="shared" si="84"/>
        <v>1.5332485596652037</v>
      </c>
      <c r="E229" s="338">
        <f t="shared" si="85"/>
        <v>1.0002045388684615</v>
      </c>
      <c r="F229" s="339">
        <f t="shared" si="86"/>
        <v>2.0223946750730307E-2</v>
      </c>
      <c r="G229" s="338">
        <f t="shared" si="87"/>
        <v>1</v>
      </c>
      <c r="H229" s="339">
        <f t="shared" si="88"/>
        <v>0</v>
      </c>
      <c r="I229" s="337">
        <f t="shared" si="89"/>
        <v>2537.4729706463841</v>
      </c>
      <c r="J229" s="340">
        <f t="shared" si="90"/>
        <v>1.5704022339168826</v>
      </c>
      <c r="K229" s="348">
        <f t="shared" si="106"/>
        <v>2.5930619431049444</v>
      </c>
      <c r="L229" s="349">
        <f t="shared" si="107"/>
        <v>1.1748901047790157</v>
      </c>
      <c r="M229" s="337">
        <f t="shared" si="91"/>
        <v>1.0005249499831146</v>
      </c>
      <c r="N229" s="340">
        <f t="shared" si="92"/>
        <v>3.239507500225243E-2</v>
      </c>
      <c r="O229" s="341">
        <f t="shared" si="93"/>
        <v>0.9999549592775645</v>
      </c>
      <c r="P229" s="342">
        <f t="shared" si="94"/>
        <v>1.6424595001865567E-2</v>
      </c>
      <c r="Q229" s="343">
        <f t="shared" si="95"/>
        <v>13.706636328960514</v>
      </c>
      <c r="R229" s="344">
        <f t="shared" si="96"/>
        <v>-112.14826154185283</v>
      </c>
      <c r="S229" s="346">
        <f t="shared" si="97"/>
        <v>67.851738458147167</v>
      </c>
      <c r="U229" s="319">
        <f t="shared" si="103"/>
        <v>1000000000</v>
      </c>
      <c r="V229" s="319">
        <f t="shared" si="104"/>
        <v>179915275.5625</v>
      </c>
      <c r="X229" s="345">
        <f t="shared" si="98"/>
        <v>37.89089526975787</v>
      </c>
      <c r="Y229" s="346">
        <f t="shared" si="99"/>
        <v>-24.517276848486855</v>
      </c>
      <c r="AA229" s="345">
        <f t="shared" si="100"/>
        <v>32.613788072119412</v>
      </c>
      <c r="AB229" s="346">
        <f t="shared" si="101"/>
        <v>-87.630984693365946</v>
      </c>
      <c r="AD229">
        <f t="shared" si="105"/>
        <v>0</v>
      </c>
      <c r="AE229">
        <f t="shared" si="108"/>
        <v>0</v>
      </c>
    </row>
    <row r="230" spans="1:31" x14ac:dyDescent="0.2">
      <c r="A230" s="347">
        <v>13490</v>
      </c>
      <c r="B230" s="364">
        <f t="shared" si="102"/>
        <v>13.49</v>
      </c>
      <c r="C230" s="337">
        <f t="shared" si="83"/>
        <v>26.791214087534144</v>
      </c>
      <c r="D230" s="338">
        <f t="shared" si="84"/>
        <v>1.5334619848960112</v>
      </c>
      <c r="E230" s="338">
        <f t="shared" si="85"/>
        <v>1.0002068860464532</v>
      </c>
      <c r="F230" s="339">
        <f t="shared" si="86"/>
        <v>2.0339635422117183E-2</v>
      </c>
      <c r="G230" s="338">
        <f t="shared" si="87"/>
        <v>1</v>
      </c>
      <c r="H230" s="339">
        <f t="shared" si="88"/>
        <v>0</v>
      </c>
      <c r="I230" s="337">
        <f t="shared" si="89"/>
        <v>2551.9922721084845</v>
      </c>
      <c r="J230" s="340">
        <f t="shared" si="90"/>
        <v>1.5704044760684972</v>
      </c>
      <c r="K230" s="348">
        <f t="shared" si="106"/>
        <v>2.6056980326140593</v>
      </c>
      <c r="L230" s="349">
        <f t="shared" si="107"/>
        <v>1.1769161837516211</v>
      </c>
      <c r="M230" s="337">
        <f t="shared" si="91"/>
        <v>1.0005309730511023</v>
      </c>
      <c r="N230" s="340">
        <f t="shared" si="92"/>
        <v>3.2580307360568363E-2</v>
      </c>
      <c r="O230" s="341">
        <f t="shared" si="93"/>
        <v>0.99995444253712162</v>
      </c>
      <c r="P230" s="342">
        <f t="shared" si="94"/>
        <v>1.6518592841129852E-2</v>
      </c>
      <c r="Q230" s="343">
        <f t="shared" si="95"/>
        <v>13.649785015051419</v>
      </c>
      <c r="R230" s="344">
        <f t="shared" si="96"/>
        <v>-112.05390283767193</v>
      </c>
      <c r="S230" s="346">
        <f t="shared" si="97"/>
        <v>67.946097162328073</v>
      </c>
      <c r="U230" s="319">
        <f t="shared" si="103"/>
        <v>1000000000</v>
      </c>
      <c r="V230" s="319">
        <f t="shared" si="104"/>
        <v>181980100</v>
      </c>
      <c r="X230" s="345">
        <f t="shared" si="98"/>
        <v>37.883508254003893</v>
      </c>
      <c r="Y230" s="346">
        <f t="shared" si="99"/>
        <v>-24.411932572461296</v>
      </c>
      <c r="AA230" s="345">
        <f t="shared" si="100"/>
        <v>32.564323773964283</v>
      </c>
      <c r="AB230" s="346">
        <f t="shared" si="101"/>
        <v>-87.641970265210617</v>
      </c>
      <c r="AD230">
        <f t="shared" si="105"/>
        <v>0</v>
      </c>
      <c r="AE230">
        <f t="shared" si="108"/>
        <v>0</v>
      </c>
    </row>
    <row r="231" spans="1:31" x14ac:dyDescent="0.2">
      <c r="A231" s="347">
        <v>13568.5</v>
      </c>
      <c r="B231" s="364">
        <f t="shared" si="102"/>
        <v>13.5685</v>
      </c>
      <c r="C231" s="337">
        <f t="shared" si="83"/>
        <v>26.946898943350909</v>
      </c>
      <c r="D231" s="338">
        <f t="shared" si="84"/>
        <v>1.5336777822797296</v>
      </c>
      <c r="E231" s="338">
        <f t="shared" si="85"/>
        <v>1.0002093005910624</v>
      </c>
      <c r="F231" s="339">
        <f t="shared" si="86"/>
        <v>2.0457961382638095E-2</v>
      </c>
      <c r="G231" s="338">
        <f t="shared" si="87"/>
        <v>1</v>
      </c>
      <c r="H231" s="339">
        <f t="shared" si="88"/>
        <v>0</v>
      </c>
      <c r="I231" s="337">
        <f t="shared" si="89"/>
        <v>2566.8426325746982</v>
      </c>
      <c r="J231" s="340">
        <f t="shared" si="90"/>
        <v>1.5704067431045663</v>
      </c>
      <c r="K231" s="348">
        <f t="shared" si="106"/>
        <v>2.6186331983937703</v>
      </c>
      <c r="L231" s="349">
        <f t="shared" si="107"/>
        <v>1.1789682239845589</v>
      </c>
      <c r="M231" s="337">
        <f t="shared" si="91"/>
        <v>1.0005371689647506</v>
      </c>
      <c r="N231" s="340">
        <f t="shared" si="92"/>
        <v>3.2769760944333662E-2</v>
      </c>
      <c r="O231" s="341">
        <f t="shared" si="93"/>
        <v>0.99995391096855879</v>
      </c>
      <c r="P231" s="342">
        <f t="shared" si="94"/>
        <v>1.6614734255713168E-2</v>
      </c>
      <c r="Q231" s="343">
        <f t="shared" si="95"/>
        <v>13.592042744461235</v>
      </c>
      <c r="R231" s="344">
        <f t="shared" si="96"/>
        <v>-111.95840757365097</v>
      </c>
      <c r="S231" s="346">
        <f t="shared" si="97"/>
        <v>68.041592426349027</v>
      </c>
      <c r="U231" s="319">
        <f t="shared" si="103"/>
        <v>1000000000</v>
      </c>
      <c r="V231" s="319">
        <f t="shared" si="104"/>
        <v>184104192.25</v>
      </c>
      <c r="X231" s="345">
        <f t="shared" si="98"/>
        <v>37.876068374985465</v>
      </c>
      <c r="Y231" s="346">
        <f t="shared" si="99"/>
        <v>-24.305344109963258</v>
      </c>
      <c r="AA231" s="345">
        <f t="shared" si="100"/>
        <v>32.514021382392528</v>
      </c>
      <c r="AB231" s="346">
        <f t="shared" si="101"/>
        <v>-87.653063463687701</v>
      </c>
      <c r="AD231">
        <f t="shared" si="105"/>
        <v>0</v>
      </c>
      <c r="AE231">
        <f t="shared" si="108"/>
        <v>0</v>
      </c>
    </row>
    <row r="232" spans="1:31" x14ac:dyDescent="0.2">
      <c r="A232" s="347">
        <v>13647</v>
      </c>
      <c r="B232" s="364">
        <f t="shared" si="102"/>
        <v>13.647</v>
      </c>
      <c r="C232" s="337">
        <f t="shared" si="83"/>
        <v>27.102585039627861</v>
      </c>
      <c r="D232" s="338">
        <f t="shared" si="84"/>
        <v>1.5338911004520459</v>
      </c>
      <c r="E232" s="338">
        <f t="shared" si="85"/>
        <v>1.0002117291395671</v>
      </c>
      <c r="F232" s="339">
        <f t="shared" si="86"/>
        <v>2.0576286770216667E-2</v>
      </c>
      <c r="G232" s="338">
        <f t="shared" si="87"/>
        <v>1</v>
      </c>
      <c r="H232" s="339">
        <f t="shared" si="88"/>
        <v>0</v>
      </c>
      <c r="I232" s="337">
        <f t="shared" si="89"/>
        <v>2581.6929930539513</v>
      </c>
      <c r="J232" s="340">
        <f t="shared" si="90"/>
        <v>1.5704089840598401</v>
      </c>
      <c r="K232" s="348">
        <f t="shared" si="106"/>
        <v>2.631579282467551</v>
      </c>
      <c r="L232" s="349">
        <f t="shared" si="107"/>
        <v>1.1810000826330842</v>
      </c>
      <c r="M232" s="337">
        <f t="shared" si="91"/>
        <v>1.0005434007898943</v>
      </c>
      <c r="N232" s="340">
        <f t="shared" si="92"/>
        <v>3.2959212174898E-2</v>
      </c>
      <c r="O232" s="341">
        <f t="shared" si="93"/>
        <v>0.99995337631997205</v>
      </c>
      <c r="P232" s="342">
        <f t="shared" si="94"/>
        <v>1.6710875977577304E-2</v>
      </c>
      <c r="Q232" s="343">
        <f t="shared" si="95"/>
        <v>13.534704677143598</v>
      </c>
      <c r="R232" s="344">
        <f t="shared" si="96"/>
        <v>-111.8639250021771</v>
      </c>
      <c r="S232" s="346">
        <f t="shared" si="97"/>
        <v>68.136074997822902</v>
      </c>
      <c r="U232" s="319">
        <f t="shared" si="103"/>
        <v>1000000000</v>
      </c>
      <c r="V232" s="319">
        <f t="shared" si="104"/>
        <v>186240609</v>
      </c>
      <c r="X232" s="345">
        <f t="shared" si="98"/>
        <v>37.868743016098414</v>
      </c>
      <c r="Y232" s="346">
        <f t="shared" si="99"/>
        <v>-24.1999103379293</v>
      </c>
      <c r="AA232" s="345">
        <f t="shared" si="100"/>
        <v>32.464008673961956</v>
      </c>
      <c r="AB232" s="346">
        <f t="shared" si="101"/>
        <v>-87.664014664247816</v>
      </c>
      <c r="AD232">
        <f t="shared" si="105"/>
        <v>0</v>
      </c>
      <c r="AE232">
        <f t="shared" si="108"/>
        <v>0</v>
      </c>
    </row>
    <row r="233" spans="1:31" x14ac:dyDescent="0.2">
      <c r="A233" s="347">
        <v>13725.5</v>
      </c>
      <c r="B233" s="364">
        <f t="shared" si="102"/>
        <v>13.7255</v>
      </c>
      <c r="C233" s="337">
        <f t="shared" si="83"/>
        <v>27.258272355110279</v>
      </c>
      <c r="D233" s="338">
        <f t="shared" si="84"/>
        <v>1.5341019818738879</v>
      </c>
      <c r="E233" s="338">
        <f t="shared" si="85"/>
        <v>1.0002141716918656</v>
      </c>
      <c r="F233" s="339">
        <f t="shared" si="86"/>
        <v>2.0694611581543766E-2</v>
      </c>
      <c r="G233" s="338">
        <f t="shared" si="87"/>
        <v>1</v>
      </c>
      <c r="H233" s="339">
        <f t="shared" si="88"/>
        <v>0</v>
      </c>
      <c r="I233" s="337">
        <f t="shared" si="89"/>
        <v>2596.5433535460215</v>
      </c>
      <c r="J233" s="340">
        <f t="shared" si="90"/>
        <v>1.5704111993818093</v>
      </c>
      <c r="K233" s="348">
        <f t="shared" si="106"/>
        <v>2.644536124486883</v>
      </c>
      <c r="L233" s="349">
        <f t="shared" si="107"/>
        <v>1.1830120394336883</v>
      </c>
      <c r="M233" s="337">
        <f t="shared" si="91"/>
        <v>1.0005496685258624</v>
      </c>
      <c r="N233" s="340">
        <f t="shared" si="92"/>
        <v>3.3148661038706013E-2</v>
      </c>
      <c r="O233" s="341">
        <f t="shared" si="93"/>
        <v>0.99995283859143547</v>
      </c>
      <c r="P233" s="342">
        <f t="shared" si="94"/>
        <v>1.6807018008499812E-2</v>
      </c>
      <c r="Q233" s="343">
        <f t="shared" si="95"/>
        <v>13.477765192673999</v>
      </c>
      <c r="R233" s="344">
        <f t="shared" si="96"/>
        <v>-111.77044155351609</v>
      </c>
      <c r="S233" s="346">
        <f t="shared" si="97"/>
        <v>68.229558446483907</v>
      </c>
      <c r="U233" s="319">
        <f t="shared" si="103"/>
        <v>1000000000</v>
      </c>
      <c r="V233" s="319">
        <f t="shared" si="104"/>
        <v>188389350.25</v>
      </c>
      <c r="X233" s="345">
        <f t="shared" si="98"/>
        <v>37.861529864729917</v>
      </c>
      <c r="Y233" s="346">
        <f t="shared" si="99"/>
        <v>-24.095615253501705</v>
      </c>
      <c r="AA233" s="345">
        <f t="shared" si="100"/>
        <v>32.414282340860844</v>
      </c>
      <c r="AB233" s="346">
        <f t="shared" si="101"/>
        <v>-87.674826300014374</v>
      </c>
      <c r="AD233">
        <f t="shared" si="105"/>
        <v>0</v>
      </c>
      <c r="AE233">
        <f t="shared" si="108"/>
        <v>0</v>
      </c>
    </row>
    <row r="234" spans="1:31" x14ac:dyDescent="0.2">
      <c r="A234" s="347">
        <v>13804</v>
      </c>
      <c r="B234" s="364">
        <f t="shared" si="102"/>
        <v>13.804</v>
      </c>
      <c r="C234" s="337">
        <f t="shared" si="83"/>
        <v>27.413960869026091</v>
      </c>
      <c r="D234" s="338">
        <f t="shared" si="84"/>
        <v>1.5343104680424902</v>
      </c>
      <c r="E234" s="338">
        <f t="shared" si="85"/>
        <v>1.0002166282478548</v>
      </c>
      <c r="F234" s="339">
        <f t="shared" si="86"/>
        <v>2.0812935813310347E-2</v>
      </c>
      <c r="G234" s="338">
        <f t="shared" si="87"/>
        <v>1</v>
      </c>
      <c r="H234" s="339">
        <f t="shared" si="88"/>
        <v>0</v>
      </c>
      <c r="I234" s="337">
        <f t="shared" si="89"/>
        <v>2611.3937140506901</v>
      </c>
      <c r="J234" s="340">
        <f t="shared" si="90"/>
        <v>1.5704133895077845</v>
      </c>
      <c r="K234" s="348">
        <f t="shared" si="106"/>
        <v>2.6575035670984541</v>
      </c>
      <c r="L234" s="349">
        <f t="shared" si="107"/>
        <v>1.1850043693142149</v>
      </c>
      <c r="M234" s="337">
        <f t="shared" si="91"/>
        <v>1.0005559721719797</v>
      </c>
      <c r="N234" s="340">
        <f t="shared" si="92"/>
        <v>3.3338107522203328E-2</v>
      </c>
      <c r="O234" s="341">
        <f t="shared" si="93"/>
        <v>0.99995229778302364</v>
      </c>
      <c r="P234" s="342">
        <f t="shared" si="94"/>
        <v>1.6903160350258219E-2</v>
      </c>
      <c r="Q234" s="343">
        <f t="shared" si="95"/>
        <v>13.421218783494449</v>
      </c>
      <c r="R234" s="344">
        <f t="shared" si="96"/>
        <v>-111.67794387765004</v>
      </c>
      <c r="S234" s="346">
        <f t="shared" si="97"/>
        <v>68.322056122349963</v>
      </c>
      <c r="U234" s="319">
        <f t="shared" si="103"/>
        <v>1000000000</v>
      </c>
      <c r="V234" s="319">
        <f t="shared" si="104"/>
        <v>190550416</v>
      </c>
      <c r="X234" s="345">
        <f t="shared" si="98"/>
        <v>37.854426664846493</v>
      </c>
      <c r="Y234" s="346">
        <f t="shared" si="99"/>
        <v>-23.992443128754804</v>
      </c>
      <c r="AA234" s="345">
        <f t="shared" si="100"/>
        <v>32.364839131564722</v>
      </c>
      <c r="AB234" s="346">
        <f t="shared" si="101"/>
        <v>-87.685500748895251</v>
      </c>
      <c r="AD234">
        <f t="shared" si="105"/>
        <v>0</v>
      </c>
      <c r="AE234">
        <f t="shared" si="108"/>
        <v>0</v>
      </c>
    </row>
    <row r="235" spans="1:31" x14ac:dyDescent="0.2">
      <c r="A235" s="347">
        <v>13884.25</v>
      </c>
      <c r="B235" s="364">
        <f t="shared" si="102"/>
        <v>13.88425</v>
      </c>
      <c r="C235" s="337">
        <f t="shared" si="83"/>
        <v>27.573121363656906</v>
      </c>
      <c r="D235" s="338">
        <f t="shared" si="84"/>
        <v>1.5345211682808122</v>
      </c>
      <c r="E235" s="338">
        <f t="shared" si="85"/>
        <v>1.0002191540431711</v>
      </c>
      <c r="F235" s="339">
        <f t="shared" si="86"/>
        <v>2.0933897243891469E-2</v>
      </c>
      <c r="G235" s="338">
        <f t="shared" si="87"/>
        <v>1</v>
      </c>
      <c r="H235" s="339">
        <f t="shared" si="88"/>
        <v>0</v>
      </c>
      <c r="I235" s="337">
        <f t="shared" si="89"/>
        <v>2626.5751335603004</v>
      </c>
      <c r="J235" s="340">
        <f t="shared" si="90"/>
        <v>1.5704156028584741</v>
      </c>
      <c r="K235" s="348">
        <f t="shared" si="106"/>
        <v>2.6707708897341234</v>
      </c>
      <c r="L235" s="349">
        <f t="shared" si="107"/>
        <v>1.187021107445674</v>
      </c>
      <c r="M235" s="337">
        <f t="shared" si="91"/>
        <v>1.0005624534644226</v>
      </c>
      <c r="N235" s="340">
        <f t="shared" si="92"/>
        <v>3.3531774860338009E-2</v>
      </c>
      <c r="O235" s="341">
        <f t="shared" si="93"/>
        <v>0.99995174173482138</v>
      </c>
      <c r="P235" s="342">
        <f t="shared" si="94"/>
        <v>1.7001446315787483E-2</v>
      </c>
      <c r="Q235" s="343">
        <f t="shared" si="95"/>
        <v>13.363812482534561</v>
      </c>
      <c r="R235" s="344">
        <f t="shared" si="96"/>
        <v>-111.58438945693747</v>
      </c>
      <c r="S235" s="346">
        <f t="shared" si="97"/>
        <v>68.415610543062527</v>
      </c>
      <c r="U235" s="319">
        <f t="shared" si="103"/>
        <v>1000000000</v>
      </c>
      <c r="V235" s="319">
        <f t="shared" si="104"/>
        <v>192772398.0625</v>
      </c>
      <c r="X235" s="345">
        <f t="shared" si="98"/>
        <v>37.847276477087888</v>
      </c>
      <c r="Y235" s="346">
        <f t="shared" si="99"/>
        <v>-23.888115682077647</v>
      </c>
      <c r="AA235" s="345">
        <f t="shared" si="100"/>
        <v>32.314583018363436</v>
      </c>
      <c r="AB235" s="346">
        <f t="shared" si="101"/>
        <v>-87.696273774859847</v>
      </c>
      <c r="AD235">
        <f t="shared" si="105"/>
        <v>0</v>
      </c>
      <c r="AE235">
        <f t="shared" si="108"/>
        <v>0</v>
      </c>
    </row>
    <row r="236" spans="1:31" x14ac:dyDescent="0.2">
      <c r="A236" s="347">
        <v>13964.5</v>
      </c>
      <c r="B236" s="364">
        <f t="shared" si="102"/>
        <v>13.964499999999999</v>
      </c>
      <c r="C236" s="337">
        <f t="shared" si="83"/>
        <v>27.7322830683345</v>
      </c>
      <c r="D236" s="338">
        <f t="shared" si="84"/>
        <v>1.5347294500177773</v>
      </c>
      <c r="E236" s="338">
        <f t="shared" si="85"/>
        <v>1.0002216944732873</v>
      </c>
      <c r="F236" s="339">
        <f t="shared" si="86"/>
        <v>2.1054858061790541E-2</v>
      </c>
      <c r="G236" s="338">
        <f t="shared" si="87"/>
        <v>1</v>
      </c>
      <c r="H236" s="339">
        <f t="shared" si="88"/>
        <v>0</v>
      </c>
      <c r="I236" s="337">
        <f t="shared" si="89"/>
        <v>2641.7565530826305</v>
      </c>
      <c r="J236" s="340">
        <f t="shared" si="90"/>
        <v>1.5704177907701768</v>
      </c>
      <c r="K236" s="348">
        <f t="shared" si="106"/>
        <v>2.6840489676021608</v>
      </c>
      <c r="L236" s="349">
        <f t="shared" si="107"/>
        <v>1.1890178998929957</v>
      </c>
      <c r="M236" s="337">
        <f t="shared" si="91"/>
        <v>1.0005689722845126</v>
      </c>
      <c r="N236" s="340">
        <f t="shared" si="92"/>
        <v>3.3725439682207162E-2</v>
      </c>
      <c r="O236" s="341">
        <f t="shared" si="93"/>
        <v>0.99995118246805248</v>
      </c>
      <c r="P236" s="342">
        <f t="shared" si="94"/>
        <v>1.7099732609922803E-2</v>
      </c>
      <c r="Q236" s="343">
        <f t="shared" si="95"/>
        <v>13.306805686468637</v>
      </c>
      <c r="R236" s="344">
        <f t="shared" si="96"/>
        <v>-111.49183772203999</v>
      </c>
      <c r="S236" s="346">
        <f t="shared" si="97"/>
        <v>68.508162277960011</v>
      </c>
      <c r="U236" s="319">
        <f t="shared" si="103"/>
        <v>1000000000</v>
      </c>
      <c r="V236" s="319">
        <f t="shared" si="104"/>
        <v>195007260.25</v>
      </c>
      <c r="X236" s="345">
        <f t="shared" si="98"/>
        <v>37.840236603755166</v>
      </c>
      <c r="Y236" s="346">
        <f t="shared" si="99"/>
        <v>-23.784929437204369</v>
      </c>
      <c r="AA236" s="345">
        <f t="shared" si="100"/>
        <v>32.264616095630231</v>
      </c>
      <c r="AB236" s="346">
        <f t="shared" si="101"/>
        <v>-87.706908284835606</v>
      </c>
      <c r="AD236">
        <f t="shared" si="105"/>
        <v>0</v>
      </c>
      <c r="AE236">
        <f t="shared" si="108"/>
        <v>0</v>
      </c>
    </row>
    <row r="237" spans="1:31" x14ac:dyDescent="0.2">
      <c r="A237" s="347">
        <v>14044.75</v>
      </c>
      <c r="B237" s="364">
        <f t="shared" si="102"/>
        <v>14.044750000000001</v>
      </c>
      <c r="C237" s="337">
        <f t="shared" si="83"/>
        <v>27.891445962343575</v>
      </c>
      <c r="D237" s="338">
        <f t="shared" si="84"/>
        <v>1.5349353546387847</v>
      </c>
      <c r="E237" s="338">
        <f t="shared" si="85"/>
        <v>1.0002242495380922</v>
      </c>
      <c r="F237" s="339">
        <f t="shared" si="86"/>
        <v>2.1175818263472562E-2</v>
      </c>
      <c r="G237" s="338">
        <f t="shared" si="87"/>
        <v>1</v>
      </c>
      <c r="H237" s="339">
        <f t="shared" si="88"/>
        <v>0</v>
      </c>
      <c r="I237" s="337">
        <f t="shared" si="89"/>
        <v>2656.9379726174616</v>
      </c>
      <c r="J237" s="340">
        <f t="shared" si="90"/>
        <v>1.570419953678958</v>
      </c>
      <c r="K237" s="348">
        <f t="shared" si="106"/>
        <v>2.6973376418694937</v>
      </c>
      <c r="L237" s="349">
        <f t="shared" si="107"/>
        <v>1.190995025407021</v>
      </c>
      <c r="M237" s="337">
        <f t="shared" si="91"/>
        <v>1.0005755286315159</v>
      </c>
      <c r="N237" s="340">
        <f t="shared" si="92"/>
        <v>3.391910197333288E-2</v>
      </c>
      <c r="O237" s="341">
        <f t="shared" si="93"/>
        <v>0.99995061998279822</v>
      </c>
      <c r="P237" s="342">
        <f t="shared" si="94"/>
        <v>1.7198019234563253E-2</v>
      </c>
      <c r="Q237" s="343">
        <f t="shared" si="95"/>
        <v>13.250192858440045</v>
      </c>
      <c r="R237" s="344">
        <f t="shared" si="96"/>
        <v>-111.40027509738609</v>
      </c>
      <c r="S237" s="346">
        <f t="shared" si="97"/>
        <v>68.599724902613914</v>
      </c>
      <c r="U237" s="319">
        <f t="shared" si="103"/>
        <v>1000000000</v>
      </c>
      <c r="V237" s="319">
        <f t="shared" si="104"/>
        <v>197255002.5625</v>
      </c>
      <c r="X237" s="345">
        <f t="shared" si="98"/>
        <v>37.833304807578983</v>
      </c>
      <c r="Y237" s="346">
        <f t="shared" si="99"/>
        <v>-23.682868447043443</v>
      </c>
      <c r="AA237" s="345">
        <f t="shared" si="100"/>
        <v>32.214935063777823</v>
      </c>
      <c r="AB237" s="346">
        <f t="shared" si="101"/>
        <v>-87.717406650342639</v>
      </c>
      <c r="AD237">
        <f t="shared" si="105"/>
        <v>0</v>
      </c>
      <c r="AE237">
        <f t="shared" si="108"/>
        <v>0</v>
      </c>
    </row>
    <row r="238" spans="1:31" x14ac:dyDescent="0.2">
      <c r="A238" s="347">
        <v>14125</v>
      </c>
      <c r="B238" s="364">
        <f t="shared" si="102"/>
        <v>14.125</v>
      </c>
      <c r="C238" s="337">
        <f t="shared" si="83"/>
        <v>28.050610025438864</v>
      </c>
      <c r="D238" s="338">
        <f t="shared" si="84"/>
        <v>1.535138922590739</v>
      </c>
      <c r="E238" s="338">
        <f t="shared" si="85"/>
        <v>1.0002268192374739</v>
      </c>
      <c r="F238" s="339">
        <f t="shared" si="86"/>
        <v>2.1296777845402647E-2</v>
      </c>
      <c r="G238" s="338">
        <f t="shared" si="87"/>
        <v>1</v>
      </c>
      <c r="H238" s="339">
        <f t="shared" si="88"/>
        <v>0</v>
      </c>
      <c r="I238" s="337">
        <f t="shared" si="89"/>
        <v>2672.1193921645813</v>
      </c>
      <c r="J238" s="340">
        <f t="shared" si="90"/>
        <v>1.5704220920109742</v>
      </c>
      <c r="K238" s="348">
        <f t="shared" si="106"/>
        <v>2.7106367566921921</v>
      </c>
      <c r="L238" s="349">
        <f t="shared" si="107"/>
        <v>1.1929527578896735</v>
      </c>
      <c r="M238" s="337">
        <f t="shared" si="91"/>
        <v>1.0005821225046947</v>
      </c>
      <c r="N238" s="340">
        <f t="shared" si="92"/>
        <v>3.4112761719238431E-2</v>
      </c>
      <c r="O238" s="341">
        <f t="shared" si="93"/>
        <v>0.99995005427913985</v>
      </c>
      <c r="P238" s="342">
        <f t="shared" si="94"/>
        <v>1.7296306191607904E-2</v>
      </c>
      <c r="Q238" s="343">
        <f t="shared" si="95"/>
        <v>13.193968572707053</v>
      </c>
      <c r="R238" s="344">
        <f t="shared" si="96"/>
        <v>-111.30968823088729</v>
      </c>
      <c r="S238" s="346">
        <f t="shared" si="97"/>
        <v>68.690311769112711</v>
      </c>
      <c r="U238" s="319">
        <f t="shared" si="103"/>
        <v>1000000000</v>
      </c>
      <c r="V238" s="319">
        <f t="shared" si="104"/>
        <v>199515625</v>
      </c>
      <c r="X238" s="345">
        <f t="shared" si="98"/>
        <v>37.826478906296721</v>
      </c>
      <c r="Y238" s="346">
        <f t="shared" si="99"/>
        <v>-23.581917041758118</v>
      </c>
      <c r="AA238" s="345">
        <f t="shared" si="100"/>
        <v>32.16553667932709</v>
      </c>
      <c r="AB238" s="346">
        <f t="shared" si="101"/>
        <v>-87.727771189129157</v>
      </c>
      <c r="AD238">
        <f t="shared" si="105"/>
        <v>0</v>
      </c>
      <c r="AE238">
        <f t="shared" si="108"/>
        <v>0</v>
      </c>
    </row>
    <row r="239" spans="1:31" x14ac:dyDescent="0.2">
      <c r="A239" s="347">
        <v>14207.25</v>
      </c>
      <c r="B239" s="364">
        <f t="shared" si="102"/>
        <v>14.20725</v>
      </c>
      <c r="C239" s="337">
        <f t="shared" si="83"/>
        <v>28.213741986607804</v>
      </c>
      <c r="D239" s="338">
        <f t="shared" si="84"/>
        <v>1.5353451805005232</v>
      </c>
      <c r="E239" s="338">
        <f t="shared" si="85"/>
        <v>1.0002294681652981</v>
      </c>
      <c r="F239" s="339">
        <f t="shared" si="86"/>
        <v>2.1420751349541595E-2</v>
      </c>
      <c r="G239" s="338">
        <f t="shared" si="87"/>
        <v>1</v>
      </c>
      <c r="H239" s="339">
        <f t="shared" si="88"/>
        <v>0</v>
      </c>
      <c r="I239" s="337">
        <f t="shared" si="89"/>
        <v>2687.6791648593653</v>
      </c>
      <c r="J239" s="340">
        <f t="shared" si="90"/>
        <v>1.570424258567354</v>
      </c>
      <c r="K239" s="348">
        <f t="shared" si="106"/>
        <v>2.7242779877423047</v>
      </c>
      <c r="L239" s="349">
        <f t="shared" si="107"/>
        <v>1.1949394387705123</v>
      </c>
      <c r="M239" s="337">
        <f t="shared" si="91"/>
        <v>1.0005889196510627</v>
      </c>
      <c r="N239" s="340">
        <f t="shared" si="92"/>
        <v>3.4311245219951846E-2</v>
      </c>
      <c r="O239" s="341">
        <f t="shared" si="93"/>
        <v>0.99994947113731603</v>
      </c>
      <c r="P239" s="342">
        <f t="shared" si="94"/>
        <v>1.7397043014752013E-2</v>
      </c>
      <c r="Q239" s="343">
        <f t="shared" si="95"/>
        <v>13.136740683522344</v>
      </c>
      <c r="R239" s="344">
        <f t="shared" si="96"/>
        <v>-111.21784254647234</v>
      </c>
      <c r="S239" s="346">
        <f t="shared" si="97"/>
        <v>68.78215745352766</v>
      </c>
      <c r="U239" s="319">
        <f t="shared" si="103"/>
        <v>1000000000</v>
      </c>
      <c r="V239" s="319">
        <f t="shared" si="104"/>
        <v>201845952.5625</v>
      </c>
      <c r="X239" s="345">
        <f t="shared" si="98"/>
        <v>37.81959054847276</v>
      </c>
      <c r="Y239" s="346">
        <f t="shared" si="99"/>
        <v>-23.479585013360289</v>
      </c>
      <c r="AA239" s="345">
        <f t="shared" si="100"/>
        <v>32.115197147966349</v>
      </c>
      <c r="AB239" s="346">
        <f t="shared" si="101"/>
        <v>-87.738257533112062</v>
      </c>
      <c r="AD239">
        <f t="shared" si="105"/>
        <v>0</v>
      </c>
      <c r="AE239">
        <f t="shared" si="108"/>
        <v>0</v>
      </c>
    </row>
    <row r="240" spans="1:31" x14ac:dyDescent="0.2">
      <c r="A240" s="347">
        <v>14289.5</v>
      </c>
      <c r="B240" s="364">
        <f t="shared" si="102"/>
        <v>14.2895</v>
      </c>
      <c r="C240" s="337">
        <f t="shared" si="83"/>
        <v>28.376875134254671</v>
      </c>
      <c r="D240" s="338">
        <f t="shared" si="84"/>
        <v>1.5355490669455141</v>
      </c>
      <c r="E240" s="338">
        <f t="shared" si="85"/>
        <v>1.0002321324659971</v>
      </c>
      <c r="F240" s="339">
        <f t="shared" si="86"/>
        <v>2.1544724195133851E-2</v>
      </c>
      <c r="G240" s="338">
        <f t="shared" si="87"/>
        <v>1</v>
      </c>
      <c r="H240" s="339">
        <f t="shared" si="88"/>
        <v>0</v>
      </c>
      <c r="I240" s="337">
        <f t="shared" si="89"/>
        <v>2703.2389375666207</v>
      </c>
      <c r="J240" s="340">
        <f t="shared" si="90"/>
        <v>1.5704264001824502</v>
      </c>
      <c r="K240" s="348">
        <f t="shared" si="106"/>
        <v>2.7379298640788527</v>
      </c>
      <c r="L240" s="349">
        <f t="shared" si="107"/>
        <v>1.1969063153584769</v>
      </c>
      <c r="M240" s="337">
        <f t="shared" si="91"/>
        <v>1.000595756215795</v>
      </c>
      <c r="N240" s="340">
        <f t="shared" si="92"/>
        <v>3.4509726016209719E-2</v>
      </c>
      <c r="O240" s="341">
        <f t="shared" si="93"/>
        <v>0.99994888461484477</v>
      </c>
      <c r="P240" s="342">
        <f t="shared" si="94"/>
        <v>1.7497780191114747E-2</v>
      </c>
      <c r="Q240" s="343">
        <f t="shared" si="95"/>
        <v>13.079909749161585</v>
      </c>
      <c r="R240" s="344">
        <f t="shared" si="96"/>
        <v>-111.1269941635183</v>
      </c>
      <c r="S240" s="346">
        <f t="shared" si="97"/>
        <v>68.873005836481695</v>
      </c>
      <c r="U240" s="319">
        <f t="shared" si="103"/>
        <v>1000000000</v>
      </c>
      <c r="V240" s="319">
        <f t="shared" si="104"/>
        <v>204189810.25</v>
      </c>
      <c r="X240" s="345">
        <f t="shared" si="98"/>
        <v>37.812808958082911</v>
      </c>
      <c r="Y240" s="346">
        <f t="shared" si="99"/>
        <v>-23.378386103377512</v>
      </c>
      <c r="AA240" s="345">
        <f t="shared" si="100"/>
        <v>32.065147803995437</v>
      </c>
      <c r="AB240" s="346">
        <f t="shared" si="101"/>
        <v>-87.748608060140782</v>
      </c>
      <c r="AD240">
        <f t="shared" si="105"/>
        <v>0</v>
      </c>
      <c r="AE240">
        <f t="shared" si="108"/>
        <v>0</v>
      </c>
    </row>
    <row r="241" spans="1:31" x14ac:dyDescent="0.2">
      <c r="A241" s="347">
        <v>14371.75</v>
      </c>
      <c r="B241" s="364">
        <f t="shared" si="102"/>
        <v>14.37175</v>
      </c>
      <c r="C241" s="337">
        <f t="shared" si="83"/>
        <v>28.540009448033938</v>
      </c>
      <c r="D241" s="338">
        <f t="shared" si="84"/>
        <v>1.5357506225743975</v>
      </c>
      <c r="E241" s="338">
        <f t="shared" si="85"/>
        <v>1.0002348121394484</v>
      </c>
      <c r="F241" s="339">
        <f t="shared" si="86"/>
        <v>2.1668696378373951E-2</v>
      </c>
      <c r="G241" s="338">
        <f t="shared" si="87"/>
        <v>1</v>
      </c>
      <c r="H241" s="339">
        <f t="shared" si="88"/>
        <v>0</v>
      </c>
      <c r="I241" s="337">
        <f t="shared" si="89"/>
        <v>2718.7987102861316</v>
      </c>
      <c r="J241" s="340">
        <f t="shared" si="90"/>
        <v>1.5704285172844816</v>
      </c>
      <c r="K241" s="348">
        <f t="shared" si="106"/>
        <v>2.7515922272537976</v>
      </c>
      <c r="L241" s="349">
        <f t="shared" si="107"/>
        <v>1.1988536673214147</v>
      </c>
      <c r="M241" s="337">
        <f t="shared" si="91"/>
        <v>1.0006026321980839</v>
      </c>
      <c r="N241" s="340">
        <f t="shared" si="92"/>
        <v>3.4708204092429487E-2</v>
      </c>
      <c r="O241" s="341">
        <f t="shared" si="93"/>
        <v>0.99994829471181568</v>
      </c>
      <c r="P241" s="342">
        <f t="shared" si="94"/>
        <v>1.7598517722740698E-2</v>
      </c>
      <c r="Q241" s="343">
        <f t="shared" si="95"/>
        <v>13.023470272997844</v>
      </c>
      <c r="R241" s="344">
        <f t="shared" si="96"/>
        <v>-111.0371294112134</v>
      </c>
      <c r="S241" s="346">
        <f t="shared" si="97"/>
        <v>68.9628705887866</v>
      </c>
      <c r="U241" s="319">
        <f t="shared" si="103"/>
        <v>1000000000</v>
      </c>
      <c r="V241" s="319">
        <f t="shared" si="104"/>
        <v>206547198.0625</v>
      </c>
      <c r="X241" s="345">
        <f t="shared" si="98"/>
        <v>37.806131955283291</v>
      </c>
      <c r="Y241" s="346">
        <f t="shared" si="99"/>
        <v>-23.278304311664773</v>
      </c>
      <c r="AA241" s="345">
        <f t="shared" si="100"/>
        <v>32.015385330631311</v>
      </c>
      <c r="AB241" s="346">
        <f t="shared" si="101"/>
        <v>-87.758825099548645</v>
      </c>
      <c r="AD241">
        <f t="shared" si="105"/>
        <v>0</v>
      </c>
      <c r="AE241">
        <f t="shared" si="108"/>
        <v>0</v>
      </c>
    </row>
    <row r="242" spans="1:31" x14ac:dyDescent="0.2">
      <c r="A242" s="347">
        <v>14454</v>
      </c>
      <c r="B242" s="364">
        <f t="shared" si="102"/>
        <v>14.454000000000001</v>
      </c>
      <c r="C242" s="337">
        <f t="shared" si="83"/>
        <v>28.703144908062466</v>
      </c>
      <c r="D242" s="338">
        <f t="shared" si="84"/>
        <v>1.5359498871125126</v>
      </c>
      <c r="E242" s="338">
        <f t="shared" si="85"/>
        <v>1.0002375071855281</v>
      </c>
      <c r="F242" s="339">
        <f t="shared" si="86"/>
        <v>2.1792667895456551E-2</v>
      </c>
      <c r="G242" s="338">
        <f t="shared" si="87"/>
        <v>1</v>
      </c>
      <c r="H242" s="339">
        <f t="shared" si="88"/>
        <v>0</v>
      </c>
      <c r="I242" s="337">
        <f t="shared" si="89"/>
        <v>2734.3584830176906</v>
      </c>
      <c r="J242" s="340">
        <f t="shared" si="90"/>
        <v>1.5704306102919208</v>
      </c>
      <c r="K242" s="348">
        <f t="shared" si="106"/>
        <v>2.7652649218299636</v>
      </c>
      <c r="L242" s="349">
        <f t="shared" si="107"/>
        <v>1.2007817693946796</v>
      </c>
      <c r="M242" s="337">
        <f t="shared" si="91"/>
        <v>1.0006095475971166</v>
      </c>
      <c r="N242" s="340">
        <f t="shared" si="92"/>
        <v>3.4906679433029872E-2</v>
      </c>
      <c r="O242" s="341">
        <f t="shared" si="93"/>
        <v>0.99994770142831813</v>
      </c>
      <c r="P242" s="342">
        <f t="shared" si="94"/>
        <v>1.7699255611674482E-2</v>
      </c>
      <c r="Q242" s="343">
        <f t="shared" si="95"/>
        <v>12.967416868893638</v>
      </c>
      <c r="R242" s="344">
        <f t="shared" si="96"/>
        <v>-110.94823484789481</v>
      </c>
      <c r="S242" s="346">
        <f t="shared" si="97"/>
        <v>69.05176515210519</v>
      </c>
      <c r="U242" s="319">
        <f t="shared" si="103"/>
        <v>1000000000</v>
      </c>
      <c r="V242" s="319">
        <f t="shared" si="104"/>
        <v>208918116</v>
      </c>
      <c r="X242" s="345">
        <f t="shared" si="98"/>
        <v>37.799557414215641</v>
      </c>
      <c r="Y242" s="346">
        <f t="shared" si="99"/>
        <v>-23.179323920129743</v>
      </c>
      <c r="AA242" s="345">
        <f t="shared" si="100"/>
        <v>31.965906467594763</v>
      </c>
      <c r="AB242" s="346">
        <f t="shared" si="101"/>
        <v>-87.768910927765077</v>
      </c>
      <c r="AD242">
        <f t="shared" si="105"/>
        <v>0</v>
      </c>
      <c r="AE242">
        <f t="shared" si="108"/>
        <v>0</v>
      </c>
    </row>
    <row r="243" spans="1:31" x14ac:dyDescent="0.2">
      <c r="A243" s="347">
        <v>14622.5</v>
      </c>
      <c r="B243" s="364">
        <f t="shared" si="102"/>
        <v>14.6225</v>
      </c>
      <c r="C243" s="337">
        <f t="shared" si="83"/>
        <v>29.037352965560235</v>
      </c>
      <c r="D243" s="338">
        <f t="shared" si="84"/>
        <v>1.5363511150017313</v>
      </c>
      <c r="E243" s="338">
        <f t="shared" si="85"/>
        <v>1.0002430763483112</v>
      </c>
      <c r="F243" s="339">
        <f t="shared" si="86"/>
        <v>2.2046637843282764E-2</v>
      </c>
      <c r="G243" s="338">
        <f t="shared" si="87"/>
        <v>1</v>
      </c>
      <c r="H243" s="339">
        <f t="shared" si="88"/>
        <v>0</v>
      </c>
      <c r="I243" s="337">
        <f t="shared" si="89"/>
        <v>2766.234734790231</v>
      </c>
      <c r="J243" s="340">
        <f t="shared" si="90"/>
        <v>1.5704348245661797</v>
      </c>
      <c r="K243" s="348">
        <f t="shared" si="106"/>
        <v>2.7933068674939947</v>
      </c>
      <c r="L243" s="349">
        <f t="shared" si="107"/>
        <v>1.2046727608030605</v>
      </c>
      <c r="M243" s="337">
        <f t="shared" si="91"/>
        <v>1.0006238377920853</v>
      </c>
      <c r="N243" s="340">
        <f t="shared" si="92"/>
        <v>3.5313273802081435E-2</v>
      </c>
      <c r="O243" s="341">
        <f t="shared" si="93"/>
        <v>0.99994647545260928</v>
      </c>
      <c r="P243" s="342">
        <f t="shared" si="94"/>
        <v>1.7905631621006952E-2</v>
      </c>
      <c r="Q243" s="343">
        <f t="shared" si="95"/>
        <v>12.853767541566526</v>
      </c>
      <c r="R243" s="344">
        <f t="shared" si="96"/>
        <v>-110.76909679618649</v>
      </c>
      <c r="S243" s="346">
        <f t="shared" si="97"/>
        <v>69.230903203813511</v>
      </c>
      <c r="U243" s="319">
        <f t="shared" si="103"/>
        <v>1000000000</v>
      </c>
      <c r="V243" s="319">
        <f t="shared" si="104"/>
        <v>213817506.25</v>
      </c>
      <c r="X243" s="345">
        <f t="shared" si="98"/>
        <v>37.786399879419562</v>
      </c>
      <c r="Y243" s="346">
        <f t="shared" si="99"/>
        <v>-22.979924135529185</v>
      </c>
      <c r="AA243" s="345">
        <f t="shared" si="100"/>
        <v>31.865414675063725</v>
      </c>
      <c r="AB243" s="346">
        <f t="shared" si="101"/>
        <v>-87.7891726606573</v>
      </c>
      <c r="AD243">
        <f t="shared" si="105"/>
        <v>0</v>
      </c>
      <c r="AE243">
        <f t="shared" si="108"/>
        <v>0</v>
      </c>
    </row>
    <row r="244" spans="1:31" x14ac:dyDescent="0.2">
      <c r="A244" s="347">
        <v>14706.75</v>
      </c>
      <c r="B244" s="364">
        <f t="shared" si="102"/>
        <v>14.70675</v>
      </c>
      <c r="C244" s="337">
        <f t="shared" si="83"/>
        <v>29.204458717172525</v>
      </c>
      <c r="D244" s="338">
        <f t="shared" si="84"/>
        <v>1.5365482852715617</v>
      </c>
      <c r="E244" s="338">
        <f t="shared" si="85"/>
        <v>1.0002458851231553</v>
      </c>
      <c r="F244" s="339">
        <f t="shared" si="86"/>
        <v>2.2173621752561382E-2</v>
      </c>
      <c r="G244" s="338">
        <f t="shared" si="87"/>
        <v>1</v>
      </c>
      <c r="H244" s="339">
        <f t="shared" si="88"/>
        <v>0</v>
      </c>
      <c r="I244" s="337">
        <f t="shared" si="89"/>
        <v>2782.1728606946081</v>
      </c>
      <c r="J244" s="340">
        <f t="shared" si="90"/>
        <v>1.5704368954900847</v>
      </c>
      <c r="K244" s="348">
        <f t="shared" si="106"/>
        <v>2.8073434614513202</v>
      </c>
      <c r="L244" s="349">
        <f t="shared" si="107"/>
        <v>1.206589092316497</v>
      </c>
      <c r="M244" s="337">
        <f t="shared" si="91"/>
        <v>1.0006310449215305</v>
      </c>
      <c r="N244" s="340">
        <f t="shared" si="92"/>
        <v>3.5516566614816752E-2</v>
      </c>
      <c r="O244" s="341">
        <f t="shared" si="93"/>
        <v>0.99994585714484108</v>
      </c>
      <c r="P244" s="342">
        <f t="shared" si="94"/>
        <v>1.8008820196728212E-2</v>
      </c>
      <c r="Q244" s="343">
        <f t="shared" si="95"/>
        <v>12.797528400152874</v>
      </c>
      <c r="R244" s="344">
        <f t="shared" si="96"/>
        <v>-110.68099921571432</v>
      </c>
      <c r="S244" s="346">
        <f t="shared" si="97"/>
        <v>69.319000784285677</v>
      </c>
      <c r="U244" s="319">
        <f t="shared" si="103"/>
        <v>1000000000</v>
      </c>
      <c r="V244" s="319">
        <f t="shared" si="104"/>
        <v>216288495.5625</v>
      </c>
      <c r="X244" s="345">
        <f t="shared" si="98"/>
        <v>37.779973728810859</v>
      </c>
      <c r="Y244" s="346">
        <f t="shared" si="99"/>
        <v>-22.881892902923866</v>
      </c>
      <c r="AA244" s="345">
        <f t="shared" si="100"/>
        <v>31.815601684258784</v>
      </c>
      <c r="AB244" s="346">
        <f t="shared" si="101"/>
        <v>-87.799106312790457</v>
      </c>
      <c r="AD244">
        <f t="shared" si="105"/>
        <v>0</v>
      </c>
      <c r="AE244">
        <f t="shared" si="108"/>
        <v>0</v>
      </c>
    </row>
    <row r="245" spans="1:31" x14ac:dyDescent="0.2">
      <c r="A245" s="347">
        <v>14791</v>
      </c>
      <c r="B245" s="364">
        <f t="shared" si="102"/>
        <v>14.791</v>
      </c>
      <c r="C245" s="337">
        <f t="shared" si="83"/>
        <v>29.371565591221771</v>
      </c>
      <c r="D245" s="338">
        <f t="shared" si="84"/>
        <v>1.5367432119839548</v>
      </c>
      <c r="E245" s="338">
        <f t="shared" si="85"/>
        <v>1.0002487100267865</v>
      </c>
      <c r="F245" s="339">
        <f t="shared" si="86"/>
        <v>2.2300604946631358E-2</v>
      </c>
      <c r="G245" s="338">
        <f t="shared" si="87"/>
        <v>1</v>
      </c>
      <c r="H245" s="339">
        <f t="shared" si="88"/>
        <v>0</v>
      </c>
      <c r="I245" s="337">
        <f t="shared" si="89"/>
        <v>2798.1109866107813</v>
      </c>
      <c r="J245" s="340">
        <f t="shared" si="90"/>
        <v>1.5704389428218977</v>
      </c>
      <c r="K245" s="348">
        <f t="shared" si="106"/>
        <v>2.8213902622877511</v>
      </c>
      <c r="L245" s="349">
        <f t="shared" si="107"/>
        <v>1.2084863491347153</v>
      </c>
      <c r="M245" s="337">
        <f t="shared" si="91"/>
        <v>1.0006382934044264</v>
      </c>
      <c r="N245" s="340">
        <f t="shared" si="92"/>
        <v>3.5719856490704513E-2</v>
      </c>
      <c r="O245" s="341">
        <f t="shared" si="93"/>
        <v>0.99994523529059509</v>
      </c>
      <c r="P245" s="342">
        <f t="shared" si="94"/>
        <v>1.8112009156082669E-2</v>
      </c>
      <c r="Q245" s="343">
        <f t="shared" si="95"/>
        <v>12.741672454580284</v>
      </c>
      <c r="R245" s="344">
        <f t="shared" si="96"/>
        <v>-110.5938645313652</v>
      </c>
      <c r="S245" s="346">
        <f t="shared" si="97"/>
        <v>69.406135468634801</v>
      </c>
      <c r="U245" s="319">
        <f t="shared" si="103"/>
        <v>1000000000</v>
      </c>
      <c r="V245" s="319">
        <f t="shared" si="104"/>
        <v>218773681</v>
      </c>
      <c r="X245" s="345">
        <f t="shared" si="98"/>
        <v>37.773646550697265</v>
      </c>
      <c r="Y245" s="346">
        <f t="shared" si="99"/>
        <v>-22.784953049855019</v>
      </c>
      <c r="AA245" s="345">
        <f t="shared" si="100"/>
        <v>31.766072916799779</v>
      </c>
      <c r="AB245" s="346">
        <f t="shared" si="101"/>
        <v>-87.808911481510194</v>
      </c>
      <c r="AD245">
        <f t="shared" si="105"/>
        <v>0</v>
      </c>
      <c r="AE245">
        <f t="shared" si="108"/>
        <v>0</v>
      </c>
    </row>
    <row r="246" spans="1:31" x14ac:dyDescent="0.2">
      <c r="A246" s="347">
        <v>14877.25</v>
      </c>
      <c r="B246" s="364">
        <f t="shared" si="102"/>
        <v>14.87725</v>
      </c>
      <c r="C246" s="337">
        <f t="shared" si="83"/>
        <v>29.542640536866333</v>
      </c>
      <c r="D246" s="338">
        <f t="shared" si="84"/>
        <v>1.5369404816927645</v>
      </c>
      <c r="E246" s="338">
        <f t="shared" si="85"/>
        <v>1.0002516186979526</v>
      </c>
      <c r="F246" s="339">
        <f t="shared" si="86"/>
        <v>2.2430601833395892E-2</v>
      </c>
      <c r="G246" s="338">
        <f t="shared" si="87"/>
        <v>1</v>
      </c>
      <c r="H246" s="339">
        <f t="shared" si="88"/>
        <v>0</v>
      </c>
      <c r="I246" s="337">
        <f t="shared" si="89"/>
        <v>2814.4274656764405</v>
      </c>
      <c r="J246" s="340">
        <f t="shared" si="90"/>
        <v>1.5704410147347221</v>
      </c>
      <c r="K246" s="348">
        <f t="shared" si="106"/>
        <v>2.8357809331772943</v>
      </c>
      <c r="L246" s="349">
        <f t="shared" si="107"/>
        <v>1.2104091672034756</v>
      </c>
      <c r="M246" s="337">
        <f t="shared" si="91"/>
        <v>1.0006457567948239</v>
      </c>
      <c r="N246" s="340">
        <f t="shared" si="92"/>
        <v>3.5927969179289088E-2</v>
      </c>
      <c r="O246" s="341">
        <f t="shared" si="93"/>
        <v>0.99994459500057287</v>
      </c>
      <c r="P246" s="342">
        <f t="shared" si="94"/>
        <v>1.8217648104672805E-2</v>
      </c>
      <c r="Q246" s="343">
        <f t="shared" si="95"/>
        <v>12.684882040575857</v>
      </c>
      <c r="R246" s="344">
        <f t="shared" si="96"/>
        <v>-110.50564497641788</v>
      </c>
      <c r="S246" s="346">
        <f t="shared" si="97"/>
        <v>69.494355023582116</v>
      </c>
      <c r="U246" s="319">
        <f t="shared" si="103"/>
        <v>1000000000</v>
      </c>
      <c r="V246" s="319">
        <f t="shared" si="104"/>
        <v>221332567.5625</v>
      </c>
      <c r="X246" s="345">
        <f t="shared" si="98"/>
        <v>37.767269594079465</v>
      </c>
      <c r="Y246" s="346">
        <f t="shared" si="99"/>
        <v>-22.686826380210814</v>
      </c>
      <c r="AA246" s="345">
        <f t="shared" si="100"/>
        <v>31.715659459413153</v>
      </c>
      <c r="AB246" s="346">
        <f t="shared" si="101"/>
        <v>-87.818818596207052</v>
      </c>
      <c r="AD246">
        <f t="shared" si="105"/>
        <v>0</v>
      </c>
      <c r="AE246">
        <f t="shared" si="108"/>
        <v>0</v>
      </c>
    </row>
    <row r="247" spans="1:31" x14ac:dyDescent="0.2">
      <c r="A247" s="347">
        <v>14963.5</v>
      </c>
      <c r="B247" s="364">
        <f t="shared" si="102"/>
        <v>14.9635</v>
      </c>
      <c r="C247" s="337">
        <f t="shared" si="83"/>
        <v>29.713716618934487</v>
      </c>
      <c r="D247" s="338">
        <f t="shared" si="84"/>
        <v>1.5371354798569092</v>
      </c>
      <c r="E247" s="338">
        <f t="shared" si="85"/>
        <v>1.0002545442724631</v>
      </c>
      <c r="F247" s="339">
        <f t="shared" si="86"/>
        <v>2.2560597961919653E-2</v>
      </c>
      <c r="G247" s="338">
        <f t="shared" si="87"/>
        <v>1</v>
      </c>
      <c r="H247" s="339">
        <f t="shared" si="88"/>
        <v>0</v>
      </c>
      <c r="I247" s="337">
        <f t="shared" si="89"/>
        <v>2830.7439447540419</v>
      </c>
      <c r="J247" s="340">
        <f t="shared" si="90"/>
        <v>1.5704430627624317</v>
      </c>
      <c r="K247" s="348">
        <f t="shared" si="106"/>
        <v>2.8501819827032251</v>
      </c>
      <c r="L247" s="349">
        <f t="shared" si="107"/>
        <v>1.2123125614923582</v>
      </c>
      <c r="M247" s="337">
        <f t="shared" si="91"/>
        <v>1.0006532635234333</v>
      </c>
      <c r="N247" s="340">
        <f t="shared" si="92"/>
        <v>3.6136078754435801E-2</v>
      </c>
      <c r="O247" s="341">
        <f t="shared" si="93"/>
        <v>0.99994395099390665</v>
      </c>
      <c r="P247" s="342">
        <f t="shared" si="94"/>
        <v>1.8323287459986938E-2</v>
      </c>
      <c r="Q247" s="343">
        <f t="shared" si="95"/>
        <v>12.628482252105552</v>
      </c>
      <c r="R247" s="344">
        <f t="shared" si="96"/>
        <v>-110.41840669200297</v>
      </c>
      <c r="S247" s="346">
        <f t="shared" si="97"/>
        <v>69.581593307997025</v>
      </c>
      <c r="U247" s="319">
        <f t="shared" si="103"/>
        <v>1000000000</v>
      </c>
      <c r="V247" s="319">
        <f t="shared" si="104"/>
        <v>223906332.25</v>
      </c>
      <c r="X247" s="345">
        <f t="shared" si="98"/>
        <v>37.760992146173983</v>
      </c>
      <c r="Y247" s="346">
        <f t="shared" si="99"/>
        <v>-22.589811064273935</v>
      </c>
      <c r="AA247" s="345">
        <f t="shared" si="100"/>
        <v>31.665537118848334</v>
      </c>
      <c r="AB247" s="346">
        <f t="shared" si="101"/>
        <v>-87.828595627729058</v>
      </c>
      <c r="AD247">
        <f t="shared" si="105"/>
        <v>0</v>
      </c>
      <c r="AE247">
        <f t="shared" si="108"/>
        <v>0</v>
      </c>
    </row>
    <row r="248" spans="1:31" x14ac:dyDescent="0.2">
      <c r="A248" s="347">
        <v>15049.75</v>
      </c>
      <c r="B248" s="364">
        <f t="shared" si="102"/>
        <v>15.04975</v>
      </c>
      <c r="C248" s="337">
        <f t="shared" si="83"/>
        <v>29.884793817909809</v>
      </c>
      <c r="D248" s="338">
        <f t="shared" si="84"/>
        <v>1.5373282454721899</v>
      </c>
      <c r="E248" s="338">
        <f t="shared" si="85"/>
        <v>1.0002574867501695</v>
      </c>
      <c r="F248" s="339">
        <f t="shared" si="86"/>
        <v>2.26905933278157E-2</v>
      </c>
      <c r="G248" s="338">
        <f t="shared" si="87"/>
        <v>1</v>
      </c>
      <c r="H248" s="339">
        <f t="shared" si="88"/>
        <v>0</v>
      </c>
      <c r="I248" s="337">
        <f t="shared" si="89"/>
        <v>2847.0604238433812</v>
      </c>
      <c r="J248" s="340">
        <f t="shared" si="90"/>
        <v>1.5704450873156826</v>
      </c>
      <c r="K248" s="348">
        <f t="shared" si="106"/>
        <v>2.8645932543372981</v>
      </c>
      <c r="L248" s="349">
        <f t="shared" si="107"/>
        <v>1.214196811257775</v>
      </c>
      <c r="M248" s="337">
        <f t="shared" si="91"/>
        <v>1.0006608135892794</v>
      </c>
      <c r="N248" s="340">
        <f t="shared" si="92"/>
        <v>3.6344185198188633E-2</v>
      </c>
      <c r="O248" s="341">
        <f t="shared" si="93"/>
        <v>0.99994330327070391</v>
      </c>
      <c r="P248" s="342">
        <f t="shared" si="94"/>
        <v>1.8428927224382691E-2</v>
      </c>
      <c r="Q248" s="343">
        <f t="shared" si="95"/>
        <v>12.572467701841788</v>
      </c>
      <c r="R248" s="344">
        <f t="shared" si="96"/>
        <v>-110.33213593508806</v>
      </c>
      <c r="S248" s="346">
        <f t="shared" si="97"/>
        <v>69.667864064911939</v>
      </c>
      <c r="U248" s="319">
        <f t="shared" si="103"/>
        <v>1000000000</v>
      </c>
      <c r="V248" s="319">
        <f t="shared" si="104"/>
        <v>226494975.0625</v>
      </c>
      <c r="X248" s="345">
        <f t="shared" si="98"/>
        <v>37.754812152619259</v>
      </c>
      <c r="Y248" s="346">
        <f t="shared" si="99"/>
        <v>-22.493891124330624</v>
      </c>
      <c r="AA248" s="345">
        <f t="shared" si="100"/>
        <v>31.61570256213929</v>
      </c>
      <c r="AB248" s="346">
        <f t="shared" si="101"/>
        <v>-87.838244810757445</v>
      </c>
      <c r="AD248">
        <f t="shared" si="105"/>
        <v>0</v>
      </c>
      <c r="AE248">
        <f t="shared" si="108"/>
        <v>0</v>
      </c>
    </row>
    <row r="249" spans="1:31" x14ac:dyDescent="0.2">
      <c r="A249" s="347">
        <v>15136</v>
      </c>
      <c r="B249" s="364">
        <f t="shared" si="102"/>
        <v>15.135999999999999</v>
      </c>
      <c r="C249" s="337">
        <f t="shared" si="83"/>
        <v>30.055872114720078</v>
      </c>
      <c r="D249" s="338">
        <f t="shared" si="84"/>
        <v>1.537518816647222</v>
      </c>
      <c r="E249" s="338">
        <f t="shared" si="85"/>
        <v>1.0002604461309226</v>
      </c>
      <c r="F249" s="339">
        <f t="shared" si="86"/>
        <v>2.2820587926697264E-2</v>
      </c>
      <c r="G249" s="338">
        <f t="shared" si="87"/>
        <v>1</v>
      </c>
      <c r="H249" s="339">
        <f t="shared" si="88"/>
        <v>0</v>
      </c>
      <c r="I249" s="337">
        <f t="shared" si="89"/>
        <v>2863.3769029442565</v>
      </c>
      <c r="J249" s="340">
        <f t="shared" si="90"/>
        <v>1.5704470887957707</v>
      </c>
      <c r="K249" s="348">
        <f t="shared" si="106"/>
        <v>2.8790145945753527</v>
      </c>
      <c r="L249" s="349">
        <f t="shared" si="107"/>
        <v>1.2160621907105538</v>
      </c>
      <c r="M249" s="337">
        <f t="shared" si="91"/>
        <v>1.0006684069913809</v>
      </c>
      <c r="N249" s="340">
        <f t="shared" si="92"/>
        <v>3.6552288492593218E-2</v>
      </c>
      <c r="O249" s="341">
        <f t="shared" si="93"/>
        <v>0.99994265183107334</v>
      </c>
      <c r="P249" s="342">
        <f t="shared" si="94"/>
        <v>1.8534567400217649E-2</v>
      </c>
      <c r="Q249" s="343">
        <f t="shared" si="95"/>
        <v>12.516833110840338</v>
      </c>
      <c r="R249" s="344">
        <f t="shared" si="96"/>
        <v>-110.24681920036306</v>
      </c>
      <c r="S249" s="346">
        <f t="shared" si="97"/>
        <v>69.753180799636937</v>
      </c>
      <c r="U249" s="319">
        <f t="shared" si="103"/>
        <v>1000000000</v>
      </c>
      <c r="V249" s="319">
        <f t="shared" si="104"/>
        <v>229098496</v>
      </c>
      <c r="X249" s="345">
        <f t="shared" si="98"/>
        <v>37.748727610553928</v>
      </c>
      <c r="Y249" s="346">
        <f t="shared" si="99"/>
        <v>-22.399050871221583</v>
      </c>
      <c r="AA249" s="345">
        <f t="shared" si="100"/>
        <v>31.566152513203171</v>
      </c>
      <c r="AB249" s="346">
        <f t="shared" si="101"/>
        <v>-87.847768329141473</v>
      </c>
      <c r="AD249">
        <f t="shared" si="105"/>
        <v>0</v>
      </c>
      <c r="AE249">
        <f t="shared" si="108"/>
        <v>0</v>
      </c>
    </row>
    <row r="250" spans="1:31" x14ac:dyDescent="0.2">
      <c r="A250" s="347">
        <v>15224</v>
      </c>
      <c r="B250" s="364">
        <f t="shared" si="102"/>
        <v>15.224</v>
      </c>
      <c r="C250" s="337">
        <f t="shared" si="83"/>
        <v>30.230422677512529</v>
      </c>
      <c r="D250" s="338">
        <f t="shared" si="84"/>
        <v>1.5377110314474725</v>
      </c>
      <c r="E250" s="338">
        <f t="shared" si="85"/>
        <v>1.0002634829778931</v>
      </c>
      <c r="F250" s="339">
        <f t="shared" si="86"/>
        <v>2.2953219302082436E-2</v>
      </c>
      <c r="G250" s="338">
        <f t="shared" si="87"/>
        <v>1</v>
      </c>
      <c r="H250" s="339">
        <f t="shared" si="88"/>
        <v>0</v>
      </c>
      <c r="I250" s="337">
        <f t="shared" si="89"/>
        <v>2880.0244410530686</v>
      </c>
      <c r="J250" s="340">
        <f t="shared" si="90"/>
        <v>1.5704491075123659</v>
      </c>
      <c r="K250" s="348">
        <f t="shared" si="106"/>
        <v>2.8937387626319544</v>
      </c>
      <c r="L250" s="349">
        <f t="shared" si="107"/>
        <v>1.2179462493046653</v>
      </c>
      <c r="M250" s="337">
        <f t="shared" si="91"/>
        <v>1.0006761991255921</v>
      </c>
      <c r="N250" s="340">
        <f t="shared" si="92"/>
        <v>3.6764610908207145E-2</v>
      </c>
      <c r="O250" s="341">
        <f t="shared" si="93"/>
        <v>0.99994198334363837</v>
      </c>
      <c r="P250" s="342">
        <f t="shared" si="94"/>
        <v>1.8642351426402373E-2</v>
      </c>
      <c r="Q250" s="343">
        <f t="shared" si="95"/>
        <v>12.460455936111831</v>
      </c>
      <c r="R250" s="344">
        <f t="shared" si="96"/>
        <v>-110.16074088529139</v>
      </c>
      <c r="S250" s="346">
        <f t="shared" si="97"/>
        <v>69.839259114708611</v>
      </c>
      <c r="U250" s="319">
        <f t="shared" si="103"/>
        <v>1000000000</v>
      </c>
      <c r="V250" s="319">
        <f t="shared" si="104"/>
        <v>231770176</v>
      </c>
      <c r="X250" s="345">
        <f t="shared" si="98"/>
        <v>37.742615964129499</v>
      </c>
      <c r="Y250" s="346">
        <f t="shared" si="99"/>
        <v>-22.30338310756596</v>
      </c>
      <c r="AA250" s="345">
        <f t="shared" si="100"/>
        <v>31.51588698489909</v>
      </c>
      <c r="AB250" s="346">
        <f t="shared" si="101"/>
        <v>-87.857357777725454</v>
      </c>
      <c r="AD250">
        <f t="shared" si="105"/>
        <v>0</v>
      </c>
      <c r="AE250">
        <f t="shared" si="108"/>
        <v>0</v>
      </c>
    </row>
    <row r="251" spans="1:31" x14ac:dyDescent="0.2">
      <c r="A251" s="347">
        <v>15312</v>
      </c>
      <c r="B251" s="364">
        <f t="shared" si="102"/>
        <v>15.311999999999999</v>
      </c>
      <c r="C251" s="337">
        <f t="shared" si="83"/>
        <v>30.404974344390126</v>
      </c>
      <c r="D251" s="338">
        <f t="shared" si="84"/>
        <v>1.5379010392859476</v>
      </c>
      <c r="E251" s="338">
        <f t="shared" si="85"/>
        <v>1.0002665374204736</v>
      </c>
      <c r="F251" s="339">
        <f t="shared" si="86"/>
        <v>2.3085849869786772E-2</v>
      </c>
      <c r="G251" s="338">
        <f t="shared" si="87"/>
        <v>1</v>
      </c>
      <c r="H251" s="339">
        <f t="shared" si="88"/>
        <v>0</v>
      </c>
      <c r="I251" s="337">
        <f t="shared" si="89"/>
        <v>2896.6719791734818</v>
      </c>
      <c r="J251" s="340">
        <f t="shared" si="90"/>
        <v>1.5704511030253248</v>
      </c>
      <c r="K251" s="348">
        <f t="shared" si="106"/>
        <v>2.9084730985022076</v>
      </c>
      <c r="L251" s="349">
        <f t="shared" si="107"/>
        <v>1.219811225166948</v>
      </c>
      <c r="M251" s="337">
        <f t="shared" si="91"/>
        <v>1.0006840363703917</v>
      </c>
      <c r="N251" s="340">
        <f t="shared" si="92"/>
        <v>3.6976930007621929E-2</v>
      </c>
      <c r="O251" s="341">
        <f t="shared" si="93"/>
        <v>0.99994131098766348</v>
      </c>
      <c r="P251" s="342">
        <f t="shared" si="94"/>
        <v>1.8750135885850044E-2</v>
      </c>
      <c r="Q251" s="343">
        <f t="shared" si="95"/>
        <v>12.404463526305687</v>
      </c>
      <c r="R251" s="344">
        <f t="shared" si="96"/>
        <v>-110.07562803224717</v>
      </c>
      <c r="S251" s="346">
        <f t="shared" si="97"/>
        <v>69.924371967752833</v>
      </c>
      <c r="U251" s="319">
        <f t="shared" si="103"/>
        <v>1000000000</v>
      </c>
      <c r="V251" s="319">
        <f t="shared" si="104"/>
        <v>234457344</v>
      </c>
      <c r="X251" s="345">
        <f t="shared" si="98"/>
        <v>37.736599627013476</v>
      </c>
      <c r="Y251" s="346">
        <f t="shared" si="99"/>
        <v>-22.208807184432317</v>
      </c>
      <c r="AA251" s="345">
        <f t="shared" si="100"/>
        <v>31.465910912208969</v>
      </c>
      <c r="AB251" s="346">
        <f t="shared" si="101"/>
        <v>-87.86682084781485</v>
      </c>
      <c r="AD251">
        <f t="shared" si="105"/>
        <v>0</v>
      </c>
      <c r="AE251">
        <f t="shared" si="108"/>
        <v>0</v>
      </c>
    </row>
    <row r="252" spans="1:31" x14ac:dyDescent="0.2">
      <c r="A252" s="347">
        <v>15400</v>
      </c>
      <c r="B252" s="364">
        <f t="shared" si="102"/>
        <v>15.4</v>
      </c>
      <c r="C252" s="337">
        <f t="shared" si="83"/>
        <v>30.579527096446121</v>
      </c>
      <c r="D252" s="338">
        <f t="shared" si="84"/>
        <v>1.5380888779418642</v>
      </c>
      <c r="E252" s="338">
        <f t="shared" si="85"/>
        <v>1.0002696094585024</v>
      </c>
      <c r="F252" s="339">
        <f t="shared" si="86"/>
        <v>2.3218479625151514E-2</v>
      </c>
      <c r="G252" s="338">
        <f t="shared" si="87"/>
        <v>1</v>
      </c>
      <c r="H252" s="339">
        <f t="shared" si="88"/>
        <v>0</v>
      </c>
      <c r="I252" s="337">
        <f t="shared" si="89"/>
        <v>2913.3195173052982</v>
      </c>
      <c r="J252" s="340">
        <f t="shared" si="90"/>
        <v>1.5704530757324242</v>
      </c>
      <c r="K252" s="348">
        <f t="shared" si="106"/>
        <v>2.923217448435</v>
      </c>
      <c r="L252" s="349">
        <f t="shared" si="107"/>
        <v>1.22165739397802</v>
      </c>
      <c r="M252" s="337">
        <f t="shared" si="91"/>
        <v>1.0006919187247192</v>
      </c>
      <c r="N252" s="340">
        <f t="shared" si="92"/>
        <v>3.7189245771773266E-2</v>
      </c>
      <c r="O252" s="341">
        <f t="shared" si="93"/>
        <v>0.999940634763266</v>
      </c>
      <c r="P252" s="342">
        <f t="shared" si="94"/>
        <v>1.8857920781064678E-2</v>
      </c>
      <c r="Q252" s="343">
        <f t="shared" si="95"/>
        <v>12.348850605660411</v>
      </c>
      <c r="R252" s="344">
        <f t="shared" si="96"/>
        <v>-109.99146703259314</v>
      </c>
      <c r="S252" s="346">
        <f t="shared" si="97"/>
        <v>70.008532967406865</v>
      </c>
      <c r="U252" s="319">
        <f t="shared" si="103"/>
        <v>1000000000</v>
      </c>
      <c r="V252" s="319">
        <f t="shared" si="104"/>
        <v>237160000</v>
      </c>
      <c r="X252" s="345">
        <f t="shared" si="98"/>
        <v>37.730676628115241</v>
      </c>
      <c r="Y252" s="346">
        <f t="shared" si="99"/>
        <v>-22.115307328183349</v>
      </c>
      <c r="AA252" s="345">
        <f t="shared" si="100"/>
        <v>31.41622099046193</v>
      </c>
      <c r="AB252" s="346">
        <f t="shared" si="101"/>
        <v>-87.876159704409758</v>
      </c>
      <c r="AD252">
        <f t="shared" si="105"/>
        <v>0</v>
      </c>
      <c r="AE252">
        <f t="shared" si="108"/>
        <v>0</v>
      </c>
    </row>
    <row r="253" spans="1:31" x14ac:dyDescent="0.2">
      <c r="A253" s="347">
        <v>15488</v>
      </c>
      <c r="B253" s="364">
        <f t="shared" si="102"/>
        <v>15.488</v>
      </c>
      <c r="C253" s="337">
        <f t="shared" si="83"/>
        <v>30.754080915202874</v>
      </c>
      <c r="D253" s="338">
        <f t="shared" si="84"/>
        <v>1.5382745843373509</v>
      </c>
      <c r="E253" s="338">
        <f t="shared" si="85"/>
        <v>1.0002726990918176</v>
      </c>
      <c r="F253" s="339">
        <f t="shared" si="86"/>
        <v>2.3351108563518085E-2</v>
      </c>
      <c r="G253" s="338">
        <f t="shared" si="87"/>
        <v>1</v>
      </c>
      <c r="H253" s="339">
        <f t="shared" si="88"/>
        <v>0</v>
      </c>
      <c r="I253" s="337">
        <f t="shared" si="89"/>
        <v>2929.9670554483237</v>
      </c>
      <c r="J253" s="340">
        <f t="shared" si="90"/>
        <v>1.5704550260223999</v>
      </c>
      <c r="K253" s="348">
        <f t="shared" si="106"/>
        <v>2.9379716616621936</v>
      </c>
      <c r="L253" s="349">
        <f t="shared" si="107"/>
        <v>1.2234850263991972</v>
      </c>
      <c r="M253" s="337">
        <f t="shared" si="91"/>
        <v>1.000699846187509</v>
      </c>
      <c r="N253" s="340">
        <f t="shared" si="92"/>
        <v>3.7401558181598647E-2</v>
      </c>
      <c r="O253" s="341">
        <f t="shared" si="93"/>
        <v>0.9999399546705634</v>
      </c>
      <c r="P253" s="342">
        <f t="shared" si="94"/>
        <v>1.8965706114550292E-2</v>
      </c>
      <c r="Q253" s="343">
        <f t="shared" si="95"/>
        <v>12.293612004183636</v>
      </c>
      <c r="R253" s="344">
        <f t="shared" si="96"/>
        <v>-109.90824451565138</v>
      </c>
      <c r="S253" s="346">
        <f t="shared" si="97"/>
        <v>70.091755484348624</v>
      </c>
      <c r="U253" s="319">
        <f t="shared" si="103"/>
        <v>1000000000</v>
      </c>
      <c r="V253" s="319">
        <f t="shared" si="104"/>
        <v>239878144</v>
      </c>
      <c r="X253" s="345">
        <f t="shared" si="98"/>
        <v>37.724845045865571</v>
      </c>
      <c r="Y253" s="346">
        <f t="shared" si="99"/>
        <v>-22.022868052248675</v>
      </c>
      <c r="AA253" s="345">
        <f t="shared" si="100"/>
        <v>31.366813971234823</v>
      </c>
      <c r="AB253" s="346">
        <f t="shared" si="101"/>
        <v>-87.885376463402707</v>
      </c>
      <c r="AD253">
        <f t="shared" si="105"/>
        <v>0</v>
      </c>
      <c r="AE253">
        <f t="shared" si="108"/>
        <v>0</v>
      </c>
    </row>
    <row r="254" spans="1:31" x14ac:dyDescent="0.2">
      <c r="A254" s="347">
        <v>15578.25</v>
      </c>
      <c r="B254" s="364">
        <f t="shared" si="102"/>
        <v>15.578250000000001</v>
      </c>
      <c r="C254" s="337">
        <f t="shared" si="83"/>
        <v>30.933098846778147</v>
      </c>
      <c r="D254" s="338">
        <f t="shared" si="84"/>
        <v>1.5384628619724205</v>
      </c>
      <c r="E254" s="338">
        <f t="shared" si="85"/>
        <v>1.000275885997125</v>
      </c>
      <c r="F254" s="339">
        <f t="shared" si="86"/>
        <v>2.3487127729216375E-2</v>
      </c>
      <c r="G254" s="338">
        <f t="shared" si="87"/>
        <v>1</v>
      </c>
      <c r="H254" s="339">
        <f t="shared" si="88"/>
        <v>0</v>
      </c>
      <c r="I254" s="337">
        <f t="shared" si="89"/>
        <v>2947.0402408848572</v>
      </c>
      <c r="J254" s="340">
        <f t="shared" si="90"/>
        <v>1.5704570032914993</v>
      </c>
      <c r="K254" s="348">
        <f t="shared" si="106"/>
        <v>2.9531132032307261</v>
      </c>
      <c r="L254" s="349">
        <f t="shared" si="107"/>
        <v>1.2253404130448082</v>
      </c>
      <c r="M254" s="337">
        <f t="shared" si="91"/>
        <v>1.0007080231932042</v>
      </c>
      <c r="N254" s="340">
        <f t="shared" si="92"/>
        <v>3.7619295529685681E-2</v>
      </c>
      <c r="O254" s="341">
        <f t="shared" si="93"/>
        <v>0.99993925317132315</v>
      </c>
      <c r="P254" s="342">
        <f t="shared" si="94"/>
        <v>1.9076247780885756E-2</v>
      </c>
      <c r="Q254" s="343">
        <f t="shared" si="95"/>
        <v>12.237344542500191</v>
      </c>
      <c r="R254" s="344">
        <f t="shared" si="96"/>
        <v>-109.82385517233878</v>
      </c>
      <c r="S254" s="346">
        <f t="shared" si="97"/>
        <v>70.176144827661219</v>
      </c>
      <c r="U254" s="319">
        <f t="shared" si="103"/>
        <v>1000000000</v>
      </c>
      <c r="V254" s="319">
        <f t="shared" si="104"/>
        <v>242681873.0625</v>
      </c>
      <c r="X254" s="345">
        <f t="shared" si="98"/>
        <v>37.718957350985278</v>
      </c>
      <c r="Y254" s="346">
        <f t="shared" si="99"/>
        <v>-21.929150948245248</v>
      </c>
      <c r="AA254" s="345">
        <f t="shared" si="100"/>
        <v>31.31643420443168</v>
      </c>
      <c r="AB254" s="346">
        <f t="shared" si="101"/>
        <v>-87.894704224093516</v>
      </c>
      <c r="AD254">
        <f t="shared" si="105"/>
        <v>0</v>
      </c>
      <c r="AE254">
        <f t="shared" si="108"/>
        <v>0</v>
      </c>
    </row>
    <row r="255" spans="1:31" x14ac:dyDescent="0.2">
      <c r="A255" s="347">
        <v>15668.5</v>
      </c>
      <c r="B255" s="364">
        <f t="shared" si="102"/>
        <v>15.6685</v>
      </c>
      <c r="C255" s="337">
        <f t="shared" si="83"/>
        <v>31.112117862265567</v>
      </c>
      <c r="D255" s="338">
        <f t="shared" si="84"/>
        <v>1.5386489729163397</v>
      </c>
      <c r="E255" s="338">
        <f t="shared" si="85"/>
        <v>1.0002790914086321</v>
      </c>
      <c r="F255" s="339">
        <f t="shared" si="86"/>
        <v>2.3623146025679657E-2</v>
      </c>
      <c r="G255" s="338">
        <f t="shared" si="87"/>
        <v>1</v>
      </c>
      <c r="H255" s="339">
        <f t="shared" si="88"/>
        <v>0</v>
      </c>
      <c r="I255" s="337">
        <f t="shared" si="89"/>
        <v>2964.1134263327804</v>
      </c>
      <c r="J255" s="340">
        <f t="shared" si="90"/>
        <v>1.5704589577826025</v>
      </c>
      <c r="K255" s="348">
        <f t="shared" si="106"/>
        <v>2.9682648070357232</v>
      </c>
      <c r="L255" s="349">
        <f t="shared" si="107"/>
        <v>1.2271768641962686</v>
      </c>
      <c r="M255" s="337">
        <f t="shared" si="91"/>
        <v>1.0007162476412428</v>
      </c>
      <c r="N255" s="340">
        <f t="shared" si="92"/>
        <v>3.7837029309119662E-2</v>
      </c>
      <c r="O255" s="341">
        <f t="shared" si="93"/>
        <v>0.99993854760369127</v>
      </c>
      <c r="P255" s="342">
        <f t="shared" si="94"/>
        <v>1.9186789913525012E-2</v>
      </c>
      <c r="Q255" s="343">
        <f t="shared" si="95"/>
        <v>12.181460101124536</v>
      </c>
      <c r="R255" s="344">
        <f t="shared" si="96"/>
        <v>-109.7404251776356</v>
      </c>
      <c r="S255" s="346">
        <f t="shared" si="97"/>
        <v>70.259574822364399</v>
      </c>
      <c r="U255" s="319">
        <f t="shared" si="103"/>
        <v>1000000000</v>
      </c>
      <c r="V255" s="319">
        <f t="shared" si="104"/>
        <v>245501892.25</v>
      </c>
      <c r="X255" s="345">
        <f t="shared" si="98"/>
        <v>37.71316186694304</v>
      </c>
      <c r="Y255" s="346">
        <f t="shared" si="99"/>
        <v>-21.83651725858909</v>
      </c>
      <c r="AA255" s="345">
        <f t="shared" si="100"/>
        <v>31.266345247098254</v>
      </c>
      <c r="AB255" s="346">
        <f t="shared" si="101"/>
        <v>-87.903907919046489</v>
      </c>
      <c r="AD255">
        <f t="shared" si="105"/>
        <v>0</v>
      </c>
      <c r="AE255">
        <f t="shared" si="108"/>
        <v>0</v>
      </c>
    </row>
    <row r="256" spans="1:31" x14ac:dyDescent="0.2">
      <c r="A256" s="347">
        <v>15758.75</v>
      </c>
      <c r="B256" s="364">
        <f t="shared" si="102"/>
        <v>15.758749999999999</v>
      </c>
      <c r="C256" s="337">
        <f t="shared" si="83"/>
        <v>31.291137943061695</v>
      </c>
      <c r="D256" s="338">
        <f t="shared" si="84"/>
        <v>1.5388329543437469</v>
      </c>
      <c r="E256" s="338">
        <f t="shared" si="85"/>
        <v>1.0002823153261609</v>
      </c>
      <c r="F256" s="339">
        <f t="shared" si="86"/>
        <v>2.3759163447883366E-2</v>
      </c>
      <c r="G256" s="338">
        <f t="shared" si="87"/>
        <v>1</v>
      </c>
      <c r="H256" s="339">
        <f t="shared" si="88"/>
        <v>0</v>
      </c>
      <c r="I256" s="337">
        <f t="shared" si="89"/>
        <v>2981.1866117918971</v>
      </c>
      <c r="J256" s="340">
        <f t="shared" si="90"/>
        <v>1.5704608898870567</v>
      </c>
      <c r="K256" s="348">
        <f t="shared" si="106"/>
        <v>2.9834263197712212</v>
      </c>
      <c r="L256" s="349">
        <f t="shared" si="107"/>
        <v>1.228994656056887</v>
      </c>
      <c r="M256" s="337">
        <f t="shared" si="91"/>
        <v>1.0007245195304548</v>
      </c>
      <c r="N256" s="340">
        <f t="shared" si="92"/>
        <v>3.8054759499344171E-2</v>
      </c>
      <c r="O256" s="341">
        <f t="shared" si="93"/>
        <v>0.99993783796779678</v>
      </c>
      <c r="P256" s="342">
        <f t="shared" si="94"/>
        <v>1.9297332515169064E-2</v>
      </c>
      <c r="Q256" s="343">
        <f t="shared" si="95"/>
        <v>12.12595343225142</v>
      </c>
      <c r="R256" s="344">
        <f t="shared" si="96"/>
        <v>-109.65794085789523</v>
      </c>
      <c r="S256" s="346">
        <f t="shared" si="97"/>
        <v>70.342059142104773</v>
      </c>
      <c r="U256" s="319">
        <f t="shared" si="103"/>
        <v>1000000000</v>
      </c>
      <c r="V256" s="319">
        <f t="shared" si="104"/>
        <v>248338201.5625</v>
      </c>
      <c r="X256" s="345">
        <f t="shared" si="98"/>
        <v>37.707456673844163</v>
      </c>
      <c r="Y256" s="346">
        <f t="shared" si="99"/>
        <v>-21.744951179241038</v>
      </c>
      <c r="AA256" s="345">
        <f t="shared" si="100"/>
        <v>31.216543771324019</v>
      </c>
      <c r="AB256" s="346">
        <f t="shared" si="101"/>
        <v>-87.912989678654185</v>
      </c>
      <c r="AD256">
        <f t="shared" si="105"/>
        <v>0</v>
      </c>
      <c r="AE256">
        <f t="shared" si="108"/>
        <v>0</v>
      </c>
    </row>
    <row r="257" spans="1:31" x14ac:dyDescent="0.2">
      <c r="A257" s="347">
        <v>15849</v>
      </c>
      <c r="B257" s="364">
        <f t="shared" si="102"/>
        <v>15.849</v>
      </c>
      <c r="C257" s="337">
        <f t="shared" si="83"/>
        <v>31.470159070986295</v>
      </c>
      <c r="D257" s="338">
        <f t="shared" si="84"/>
        <v>1.5390148425839787</v>
      </c>
      <c r="E257" s="338">
        <f t="shared" si="85"/>
        <v>1.0002855577495324</v>
      </c>
      <c r="F257" s="339">
        <f t="shared" si="86"/>
        <v>2.3895179990803136E-2</v>
      </c>
      <c r="G257" s="338">
        <f t="shared" si="87"/>
        <v>1</v>
      </c>
      <c r="H257" s="339">
        <f t="shared" si="88"/>
        <v>0</v>
      </c>
      <c r="I257" s="337">
        <f t="shared" si="89"/>
        <v>2998.259797262016</v>
      </c>
      <c r="J257" s="340">
        <f t="shared" si="90"/>
        <v>1.5704627999872953</v>
      </c>
      <c r="K257" s="348">
        <f t="shared" si="106"/>
        <v>2.9985975911325844</v>
      </c>
      <c r="L257" s="349">
        <f t="shared" si="107"/>
        <v>1.2307940597389717</v>
      </c>
      <c r="M257" s="337">
        <f t="shared" si="91"/>
        <v>1.0007328388596639</v>
      </c>
      <c r="N257" s="340">
        <f t="shared" si="92"/>
        <v>3.8272486079804865E-2</v>
      </c>
      <c r="O257" s="341">
        <f t="shared" si="93"/>
        <v>0.99993712426376935</v>
      </c>
      <c r="P257" s="342">
        <f t="shared" si="94"/>
        <v>1.9407875588518923E-2</v>
      </c>
      <c r="Q257" s="343">
        <f t="shared" si="95"/>
        <v>12.070819393434874</v>
      </c>
      <c r="R257" s="344">
        <f t="shared" si="96"/>
        <v>-109.57638878222104</v>
      </c>
      <c r="S257" s="346">
        <f t="shared" si="97"/>
        <v>70.423611217778955</v>
      </c>
      <c r="U257" s="319">
        <f t="shared" si="103"/>
        <v>1000000000</v>
      </c>
      <c r="V257" s="319">
        <f t="shared" si="104"/>
        <v>251190801</v>
      </c>
      <c r="X257" s="345">
        <f t="shared" si="98"/>
        <v>37.7018399003734</v>
      </c>
      <c r="Y257" s="346">
        <f t="shared" si="99"/>
        <v>-21.654437197344198</v>
      </c>
      <c r="AA257" s="345">
        <f t="shared" si="100"/>
        <v>31.167026505978232</v>
      </c>
      <c r="AB257" s="346">
        <f t="shared" si="101"/>
        <v>-87.921951584876851</v>
      </c>
      <c r="AD257">
        <f t="shared" si="105"/>
        <v>0</v>
      </c>
      <c r="AE257">
        <f t="shared" si="108"/>
        <v>0</v>
      </c>
    </row>
    <row r="258" spans="1:31" x14ac:dyDescent="0.2">
      <c r="A258" s="347">
        <v>15941.25</v>
      </c>
      <c r="B258" s="364">
        <f t="shared" si="102"/>
        <v>15.94125</v>
      </c>
      <c r="C258" s="337">
        <f t="shared" si="83"/>
        <v>31.653148489818346</v>
      </c>
      <c r="D258" s="338">
        <f t="shared" si="84"/>
        <v>1.5391986352711551</v>
      </c>
      <c r="E258" s="338">
        <f t="shared" si="85"/>
        <v>1.0002888911525134</v>
      </c>
      <c r="F258" s="339">
        <f t="shared" si="86"/>
        <v>2.4034209836781631E-2</v>
      </c>
      <c r="G258" s="338">
        <f t="shared" si="87"/>
        <v>1</v>
      </c>
      <c r="H258" s="339">
        <f t="shared" si="88"/>
        <v>0</v>
      </c>
      <c r="I258" s="337">
        <f t="shared" si="89"/>
        <v>3015.7113358839224</v>
      </c>
      <c r="J258" s="340">
        <f t="shared" si="90"/>
        <v>1.5704647300646568</v>
      </c>
      <c r="K258" s="348">
        <f t="shared" si="106"/>
        <v>3.0141149999445651</v>
      </c>
      <c r="L258" s="349">
        <f t="shared" si="107"/>
        <v>1.2326146125144946</v>
      </c>
      <c r="M258" s="337">
        <f t="shared" si="91"/>
        <v>1.0007413915781058</v>
      </c>
      <c r="N258" s="340">
        <f t="shared" si="92"/>
        <v>3.8495033873997761E-2</v>
      </c>
      <c r="O258" s="341">
        <f t="shared" si="93"/>
        <v>0.99993639053936201</v>
      </c>
      <c r="P258" s="342">
        <f t="shared" si="94"/>
        <v>1.952086886017913E-2</v>
      </c>
      <c r="Q258" s="343">
        <f t="shared" si="95"/>
        <v>12.014843409341957</v>
      </c>
      <c r="R258" s="344">
        <f t="shared" si="96"/>
        <v>-109.49397918580189</v>
      </c>
      <c r="S258" s="346">
        <f t="shared" si="97"/>
        <v>70.506020814198109</v>
      </c>
      <c r="U258" s="319">
        <f t="shared" si="103"/>
        <v>1000000000</v>
      </c>
      <c r="V258" s="319">
        <f t="shared" si="104"/>
        <v>254123451.5625</v>
      </c>
      <c r="X258" s="345">
        <f t="shared" si="98"/>
        <v>37.696188137041908</v>
      </c>
      <c r="Y258" s="346">
        <f t="shared" si="99"/>
        <v>-21.562988841455557</v>
      </c>
      <c r="AA258" s="345">
        <f t="shared" si="100"/>
        <v>31.11670228521681</v>
      </c>
      <c r="AB258" s="346">
        <f t="shared" si="101"/>
        <v>-87.930990344346341</v>
      </c>
      <c r="AD258">
        <f t="shared" si="105"/>
        <v>0</v>
      </c>
      <c r="AE258">
        <f t="shared" si="108"/>
        <v>0</v>
      </c>
    </row>
    <row r="259" spans="1:31" x14ac:dyDescent="0.2">
      <c r="A259" s="347">
        <v>16033.5</v>
      </c>
      <c r="B259" s="364">
        <f t="shared" si="102"/>
        <v>16.0335</v>
      </c>
      <c r="C259" s="337">
        <f t="shared" si="83"/>
        <v>31.836138965594262</v>
      </c>
      <c r="D259" s="338">
        <f t="shared" si="84"/>
        <v>1.5393803151258332</v>
      </c>
      <c r="E259" s="338">
        <f t="shared" si="85"/>
        <v>1.0002922438902475</v>
      </c>
      <c r="F259" s="339">
        <f t="shared" si="86"/>
        <v>2.4173238753458583E-2</v>
      </c>
      <c r="G259" s="338">
        <f t="shared" si="87"/>
        <v>1</v>
      </c>
      <c r="H259" s="339">
        <f t="shared" si="88"/>
        <v>0</v>
      </c>
      <c r="I259" s="337">
        <f t="shared" si="89"/>
        <v>3033.1628745169337</v>
      </c>
      <c r="J259" s="340">
        <f t="shared" si="90"/>
        <v>1.5704666379323178</v>
      </c>
      <c r="K259" s="348">
        <f t="shared" si="106"/>
        <v>3.0296422964224989</v>
      </c>
      <c r="L259" s="349">
        <f t="shared" si="107"/>
        <v>1.2344165100890609</v>
      </c>
      <c r="M259" s="337">
        <f t="shared" si="91"/>
        <v>1.0007499938599391</v>
      </c>
      <c r="N259" s="340">
        <f t="shared" si="92"/>
        <v>3.8717577853244318E-2</v>
      </c>
      <c r="O259" s="341">
        <f t="shared" si="93"/>
        <v>0.99993565256479611</v>
      </c>
      <c r="P259" s="342">
        <f t="shared" si="94"/>
        <v>1.9633862630390027E-2</v>
      </c>
      <c r="Q259" s="343">
        <f t="shared" si="95"/>
        <v>11.959246214094382</v>
      </c>
      <c r="R259" s="344">
        <f t="shared" si="96"/>
        <v>-109.41251598798711</v>
      </c>
      <c r="S259" s="346">
        <f t="shared" si="97"/>
        <v>70.587484012012894</v>
      </c>
      <c r="U259" s="319">
        <f t="shared" si="103"/>
        <v>1000000000</v>
      </c>
      <c r="V259" s="319">
        <f t="shared" si="104"/>
        <v>257073122.25</v>
      </c>
      <c r="X259" s="345">
        <f t="shared" si="98"/>
        <v>37.690624951115829</v>
      </c>
      <c r="Y259" s="346">
        <f t="shared" si="99"/>
        <v>-21.472607858746482</v>
      </c>
      <c r="AA259" s="345">
        <f t="shared" si="100"/>
        <v>31.066668275895317</v>
      </c>
      <c r="AB259" s="346">
        <f t="shared" si="101"/>
        <v>-87.939908129240621</v>
      </c>
      <c r="AD259">
        <f t="shared" si="105"/>
        <v>0</v>
      </c>
      <c r="AE259">
        <f t="shared" si="108"/>
        <v>0</v>
      </c>
    </row>
    <row r="260" spans="1:31" x14ac:dyDescent="0.2">
      <c r="A260" s="347">
        <v>16125.75</v>
      </c>
      <c r="B260" s="364">
        <f t="shared" si="102"/>
        <v>16.12575</v>
      </c>
      <c r="C260" s="337">
        <f t="shared" si="83"/>
        <v>32.019130480192636</v>
      </c>
      <c r="D260" s="338">
        <f t="shared" si="84"/>
        <v>1.539559918360861</v>
      </c>
      <c r="E260" s="338">
        <f t="shared" si="85"/>
        <v>1.0002956159625402</v>
      </c>
      <c r="F260" s="339">
        <f t="shared" si="86"/>
        <v>2.4312266735468782E-2</v>
      </c>
      <c r="G260" s="338">
        <f t="shared" si="87"/>
        <v>1</v>
      </c>
      <c r="H260" s="339">
        <f t="shared" si="88"/>
        <v>0</v>
      </c>
      <c r="I260" s="337">
        <f t="shared" si="89"/>
        <v>3050.6144131608594</v>
      </c>
      <c r="J260" s="340">
        <f t="shared" si="90"/>
        <v>1.5704685239714409</v>
      </c>
      <c r="K260" s="348">
        <f t="shared" si="106"/>
        <v>3.0451793293154741</v>
      </c>
      <c r="L260" s="349">
        <f t="shared" si="107"/>
        <v>1.236200026217626</v>
      </c>
      <c r="M260" s="337">
        <f t="shared" si="91"/>
        <v>1.0007586457038857</v>
      </c>
      <c r="N260" s="340">
        <f t="shared" si="92"/>
        <v>3.8940117995599835E-2</v>
      </c>
      <c r="O260" s="341">
        <f t="shared" si="93"/>
        <v>0.99993491034021265</v>
      </c>
      <c r="P260" s="342">
        <f t="shared" si="94"/>
        <v>1.9746856902036175E-2</v>
      </c>
      <c r="Q260" s="343">
        <f t="shared" si="95"/>
        <v>11.90402263959867</v>
      </c>
      <c r="R260" s="344">
        <f t="shared" si="96"/>
        <v>-109.33198559967083</v>
      </c>
      <c r="S260" s="346">
        <f t="shared" si="97"/>
        <v>70.66801440032917</v>
      </c>
      <c r="U260" s="319">
        <f t="shared" si="103"/>
        <v>1000000000</v>
      </c>
      <c r="V260" s="319">
        <f t="shared" si="104"/>
        <v>260039813.0625</v>
      </c>
      <c r="X260" s="345">
        <f t="shared" si="98"/>
        <v>37.685148492257134</v>
      </c>
      <c r="Y260" s="346">
        <f t="shared" si="99"/>
        <v>-21.383278584795089</v>
      </c>
      <c r="AA260" s="345">
        <f t="shared" si="100"/>
        <v>31.016921160258299</v>
      </c>
      <c r="AB260" s="346">
        <f t="shared" si="101"/>
        <v>-87.948707014875751</v>
      </c>
      <c r="AD260">
        <f t="shared" si="105"/>
        <v>0</v>
      </c>
      <c r="AE260">
        <f t="shared" si="108"/>
        <v>0</v>
      </c>
    </row>
    <row r="261" spans="1:31" x14ac:dyDescent="0.2">
      <c r="A261" s="347">
        <v>16218</v>
      </c>
      <c r="B261" s="364">
        <f t="shared" si="102"/>
        <v>16.218</v>
      </c>
      <c r="C261" s="337">
        <f t="shared" si="83"/>
        <v>32.202123015903837</v>
      </c>
      <c r="D261" s="338">
        <f t="shared" si="84"/>
        <v>1.5397374803664932</v>
      </c>
      <c r="E261" s="338">
        <f t="shared" si="85"/>
        <v>1.0002990073691962</v>
      </c>
      <c r="F261" s="339">
        <f t="shared" si="86"/>
        <v>2.4451293777447224E-2</v>
      </c>
      <c r="G261" s="338">
        <f t="shared" si="87"/>
        <v>1</v>
      </c>
      <c r="H261" s="339">
        <f t="shared" si="88"/>
        <v>0</v>
      </c>
      <c r="I261" s="337">
        <f t="shared" si="89"/>
        <v>3068.0659518155135</v>
      </c>
      <c r="J261" s="340">
        <f t="shared" si="90"/>
        <v>1.5704703885545162</v>
      </c>
      <c r="K261" s="348">
        <f t="shared" si="106"/>
        <v>3.0607259503498465</v>
      </c>
      <c r="L261" s="349">
        <f t="shared" si="107"/>
        <v>1.2379654295661178</v>
      </c>
      <c r="M261" s="337">
        <f t="shared" si="91"/>
        <v>1.00076734710866</v>
      </c>
      <c r="N261" s="340">
        <f t="shared" si="92"/>
        <v>3.9162654279121918E-2</v>
      </c>
      <c r="O261" s="341">
        <f t="shared" si="93"/>
        <v>0.99993416386575396</v>
      </c>
      <c r="P261" s="342">
        <f t="shared" si="94"/>
        <v>1.9859851678002121E-2</v>
      </c>
      <c r="Q261" s="343">
        <f t="shared" si="95"/>
        <v>11.849167621306286</v>
      </c>
      <c r="R261" s="344">
        <f t="shared" si="96"/>
        <v>-109.25237467569906</v>
      </c>
      <c r="S261" s="346">
        <f t="shared" si="97"/>
        <v>70.747625324300941</v>
      </c>
      <c r="U261" s="319">
        <f t="shared" si="103"/>
        <v>1000000000</v>
      </c>
      <c r="V261" s="319">
        <f t="shared" si="104"/>
        <v>263023524</v>
      </c>
      <c r="X261" s="345">
        <f t="shared" si="98"/>
        <v>37.679756957117966</v>
      </c>
      <c r="Y261" s="346">
        <f t="shared" si="99"/>
        <v>-21.294985646262461</v>
      </c>
      <c r="AA261" s="345">
        <f t="shared" si="100"/>
        <v>30.967457677105074</v>
      </c>
      <c r="AB261" s="346">
        <f t="shared" si="101"/>
        <v>-87.957389029436584</v>
      </c>
      <c r="AD261">
        <f t="shared" si="105"/>
        <v>0</v>
      </c>
      <c r="AE261">
        <f t="shared" si="108"/>
        <v>0</v>
      </c>
    </row>
    <row r="262" spans="1:31" x14ac:dyDescent="0.2">
      <c r="A262" s="347">
        <v>16312.5</v>
      </c>
      <c r="B262" s="364">
        <f t="shared" si="102"/>
        <v>16.3125</v>
      </c>
      <c r="C262" s="337">
        <f t="shared" si="83"/>
        <v>32.389579824876428</v>
      </c>
      <c r="D262" s="338">
        <f t="shared" si="84"/>
        <v>1.5399172927903917</v>
      </c>
      <c r="E262" s="338">
        <f t="shared" si="85"/>
        <v>1.0003025015403506</v>
      </c>
      <c r="F262" s="339">
        <f t="shared" si="86"/>
        <v>2.4593710742577903E-2</v>
      </c>
      <c r="G262" s="338">
        <f t="shared" si="87"/>
        <v>1</v>
      </c>
      <c r="H262" s="339">
        <f t="shared" si="88"/>
        <v>0</v>
      </c>
      <c r="I262" s="337">
        <f t="shared" si="89"/>
        <v>3085.9431377653609</v>
      </c>
      <c r="J262" s="340">
        <f t="shared" si="90"/>
        <v>1.5704722767483279</v>
      </c>
      <c r="K262" s="348">
        <f t="shared" si="106"/>
        <v>3.076661547106375</v>
      </c>
      <c r="L262" s="349">
        <f t="shared" si="107"/>
        <v>1.239755386308125</v>
      </c>
      <c r="M262" s="337">
        <f t="shared" si="91"/>
        <v>1.0007763121302382</v>
      </c>
      <c r="N262" s="340">
        <f t="shared" si="92"/>
        <v>3.9390614252783916E-2</v>
      </c>
      <c r="O262" s="341">
        <f t="shared" si="93"/>
        <v>0.9999333947781277</v>
      </c>
      <c r="P262" s="342">
        <f t="shared" si="94"/>
        <v>1.9975602950049357E-2</v>
      </c>
      <c r="Q262" s="343">
        <f t="shared" si="95"/>
        <v>11.793351637360963</v>
      </c>
      <c r="R262" s="344">
        <f t="shared" si="96"/>
        <v>-109.17176170002594</v>
      </c>
      <c r="S262" s="346">
        <f t="shared" si="97"/>
        <v>70.828238299974061</v>
      </c>
      <c r="U262" s="319">
        <f t="shared" si="103"/>
        <v>1000000000</v>
      </c>
      <c r="V262" s="319">
        <f t="shared" si="104"/>
        <v>266097656.25</v>
      </c>
      <c r="X262" s="345">
        <f t="shared" si="98"/>
        <v>37.674320139944051</v>
      </c>
      <c r="Y262" s="346">
        <f t="shared" si="99"/>
        <v>-21.205598009257386</v>
      </c>
      <c r="AA262" s="345">
        <f t="shared" si="100"/>
        <v>30.917078510333674</v>
      </c>
      <c r="AB262" s="346">
        <f t="shared" si="101"/>
        <v>-87.966163690768539</v>
      </c>
      <c r="AD262">
        <f t="shared" si="105"/>
        <v>0</v>
      </c>
      <c r="AE262">
        <f t="shared" si="108"/>
        <v>0</v>
      </c>
    </row>
    <row r="263" spans="1:31" x14ac:dyDescent="0.2">
      <c r="A263" s="347">
        <v>16407</v>
      </c>
      <c r="B263" s="364">
        <f t="shared" si="102"/>
        <v>16.407</v>
      </c>
      <c r="C263" s="337">
        <f t="shared" si="83"/>
        <v>32.577037669033203</v>
      </c>
      <c r="D263" s="338">
        <f t="shared" si="84"/>
        <v>1.540095035832969</v>
      </c>
      <c r="E263" s="338">
        <f t="shared" si="85"/>
        <v>1.0003060160000905</v>
      </c>
      <c r="F263" s="339">
        <f t="shared" si="86"/>
        <v>2.4736126709865996E-2</v>
      </c>
      <c r="G263" s="338">
        <f t="shared" si="87"/>
        <v>1</v>
      </c>
      <c r="H263" s="339">
        <f t="shared" si="88"/>
        <v>0</v>
      </c>
      <c r="I263" s="337">
        <f t="shared" si="89"/>
        <v>3103.8203237260832</v>
      </c>
      <c r="J263" s="340">
        <f t="shared" si="90"/>
        <v>1.5704741431911435</v>
      </c>
      <c r="K263" s="348">
        <f t="shared" si="106"/>
        <v>3.0926068997123348</v>
      </c>
      <c r="L263" s="349">
        <f t="shared" si="107"/>
        <v>1.2415268907921801</v>
      </c>
      <c r="M263" s="337">
        <f t="shared" si="91"/>
        <v>1.0007853291569744</v>
      </c>
      <c r="N263" s="340">
        <f t="shared" si="92"/>
        <v>3.9618570130475275E-2</v>
      </c>
      <c r="O263" s="341">
        <f t="shared" si="93"/>
        <v>0.99993262123109106</v>
      </c>
      <c r="P263" s="342">
        <f t="shared" si="94"/>
        <v>2.0091354757445126E-2</v>
      </c>
      <c r="Q263" s="343">
        <f t="shared" si="95"/>
        <v>11.737911969970654</v>
      </c>
      <c r="R263" s="344">
        <f t="shared" si="96"/>
        <v>-109.09208600096439</v>
      </c>
      <c r="S263" s="346">
        <f t="shared" si="97"/>
        <v>70.907913999035614</v>
      </c>
      <c r="U263" s="319">
        <f t="shared" si="103"/>
        <v>1000000000</v>
      </c>
      <c r="V263" s="319">
        <f t="shared" si="104"/>
        <v>269189649</v>
      </c>
      <c r="X263" s="345">
        <f t="shared" si="98"/>
        <v>37.668968753855296</v>
      </c>
      <c r="Y263" s="346">
        <f t="shared" si="99"/>
        <v>-21.117266127834537</v>
      </c>
      <c r="AA263" s="345">
        <f t="shared" si="100"/>
        <v>30.866990229032115</v>
      </c>
      <c r="AB263" s="346">
        <f t="shared" si="101"/>
        <v>-87.974819873129832</v>
      </c>
      <c r="AD263">
        <f t="shared" si="105"/>
        <v>0</v>
      </c>
      <c r="AE263">
        <f t="shared" si="108"/>
        <v>0</v>
      </c>
    </row>
    <row r="264" spans="1:31" x14ac:dyDescent="0.2">
      <c r="A264" s="347">
        <v>16501.5</v>
      </c>
      <c r="B264" s="364">
        <f t="shared" si="102"/>
        <v>16.5015</v>
      </c>
      <c r="C264" s="337">
        <f t="shared" si="83"/>
        <v>32.764496530606131</v>
      </c>
      <c r="D264" s="338">
        <f t="shared" si="84"/>
        <v>1.5402707450021853</v>
      </c>
      <c r="E264" s="338">
        <f t="shared" si="85"/>
        <v>1.0003095507482023</v>
      </c>
      <c r="F264" s="339">
        <f t="shared" si="86"/>
        <v>2.4878541673544991E-2</v>
      </c>
      <c r="G264" s="338">
        <f t="shared" si="87"/>
        <v>1</v>
      </c>
      <c r="H264" s="339">
        <f t="shared" si="88"/>
        <v>0</v>
      </c>
      <c r="I264" s="337">
        <f t="shared" si="89"/>
        <v>3121.6975096974938</v>
      </c>
      <c r="J264" s="340">
        <f t="shared" si="90"/>
        <v>1.5704759882566506</v>
      </c>
      <c r="K264" s="348">
        <f t="shared" si="106"/>
        <v>3.1085618580399852</v>
      </c>
      <c r="L264" s="349">
        <f t="shared" si="107"/>
        <v>1.2432802159365111</v>
      </c>
      <c r="M264" s="337">
        <f t="shared" si="91"/>
        <v>1.0007943981874625</v>
      </c>
      <c r="N264" s="340">
        <f t="shared" si="92"/>
        <v>3.9846521888616079E-2</v>
      </c>
      <c r="O264" s="341">
        <f t="shared" si="93"/>
        <v>0.99993184322479955</v>
      </c>
      <c r="P264" s="342">
        <f t="shared" si="94"/>
        <v>2.0207107103290198E-2</v>
      </c>
      <c r="Q264" s="343">
        <f t="shared" si="95"/>
        <v>11.68284349561384</v>
      </c>
      <c r="R264" s="344">
        <f t="shared" si="96"/>
        <v>-109.01333399647578</v>
      </c>
      <c r="S264" s="346">
        <f t="shared" si="97"/>
        <v>70.986666003524221</v>
      </c>
      <c r="U264" s="319">
        <f t="shared" si="103"/>
        <v>1000000000</v>
      </c>
      <c r="V264" s="319">
        <f t="shared" si="104"/>
        <v>272299502.25</v>
      </c>
      <c r="X264" s="345">
        <f t="shared" si="98"/>
        <v>37.66370100467585</v>
      </c>
      <c r="Y264" s="346">
        <f t="shared" si="99"/>
        <v>-21.029974384991004</v>
      </c>
      <c r="AA264" s="345">
        <f t="shared" si="100"/>
        <v>30.817189503854753</v>
      </c>
      <c r="AB264" s="346">
        <f t="shared" si="101"/>
        <v>-87.983359611484772</v>
      </c>
      <c r="AD264">
        <f t="shared" si="105"/>
        <v>0</v>
      </c>
      <c r="AE264">
        <f t="shared" si="108"/>
        <v>0</v>
      </c>
    </row>
    <row r="265" spans="1:31" x14ac:dyDescent="0.2">
      <c r="A265" s="347">
        <v>16596</v>
      </c>
      <c r="B265" s="364">
        <f t="shared" si="102"/>
        <v>16.596</v>
      </c>
      <c r="C265" s="337">
        <f t="shared" si="83"/>
        <v>32.951956392231423</v>
      </c>
      <c r="D265" s="338">
        <f t="shared" si="84"/>
        <v>1.540444454998507</v>
      </c>
      <c r="E265" s="338">
        <f t="shared" si="85"/>
        <v>1.0003131057844703</v>
      </c>
      <c r="F265" s="339">
        <f t="shared" si="86"/>
        <v>2.5020955627848639E-2</v>
      </c>
      <c r="G265" s="338">
        <f t="shared" si="87"/>
        <v>1</v>
      </c>
      <c r="H265" s="339">
        <f t="shared" si="88"/>
        <v>0</v>
      </c>
      <c r="I265" s="337">
        <f t="shared" si="89"/>
        <v>3139.5746956794114</v>
      </c>
      <c r="J265" s="340">
        <f t="shared" si="90"/>
        <v>1.5704778123100256</v>
      </c>
      <c r="K265" s="348">
        <f t="shared" si="106"/>
        <v>3.1245262749384888</v>
      </c>
      <c r="L265" s="349">
        <f t="shared" si="107"/>
        <v>1.2450156295337071</v>
      </c>
      <c r="M265" s="337">
        <f t="shared" si="91"/>
        <v>1.0008035192202893</v>
      </c>
      <c r="N265" s="340">
        <f t="shared" si="92"/>
        <v>4.007446950362898E-2</v>
      </c>
      <c r="O265" s="341">
        <f t="shared" si="93"/>
        <v>0.99993106075940952</v>
      </c>
      <c r="P265" s="342">
        <f t="shared" si="94"/>
        <v>2.0322859990685338E-2</v>
      </c>
      <c r="Q265" s="343">
        <f t="shared" si="95"/>
        <v>11.628141193412038</v>
      </c>
      <c r="R265" s="344">
        <f t="shared" si="96"/>
        <v>-108.9354923514455</v>
      </c>
      <c r="S265" s="346">
        <f t="shared" si="97"/>
        <v>71.064507648554496</v>
      </c>
      <c r="U265" s="319">
        <f t="shared" si="103"/>
        <v>1000000000</v>
      </c>
      <c r="V265" s="319">
        <f t="shared" si="104"/>
        <v>275427216</v>
      </c>
      <c r="X265" s="345">
        <f t="shared" si="98"/>
        <v>37.658515144050241</v>
      </c>
      <c r="Y265" s="346">
        <f t="shared" si="99"/>
        <v>-20.943707456913785</v>
      </c>
      <c r="AA265" s="345">
        <f t="shared" si="100"/>
        <v>30.767673062278558</v>
      </c>
      <c r="AB265" s="346">
        <f t="shared" si="101"/>
        <v>-87.991784894531705</v>
      </c>
      <c r="AD265">
        <f t="shared" si="105"/>
        <v>0</v>
      </c>
      <c r="AE265">
        <f t="shared" si="108"/>
        <v>0</v>
      </c>
    </row>
    <row r="266" spans="1:31" x14ac:dyDescent="0.2">
      <c r="A266" s="347">
        <v>16692.5</v>
      </c>
      <c r="B266" s="364">
        <f t="shared" si="102"/>
        <v>16.692499999999999</v>
      </c>
      <c r="C266" s="337">
        <f t="shared" si="83"/>
        <v>33.143384672724586</v>
      </c>
      <c r="D266" s="338">
        <f t="shared" si="84"/>
        <v>1.5406198135532112</v>
      </c>
      <c r="E266" s="338">
        <f t="shared" si="85"/>
        <v>1.0003167569961453</v>
      </c>
      <c r="F266" s="339">
        <f t="shared" si="86"/>
        <v>2.5166382586457821E-2</v>
      </c>
      <c r="G266" s="338">
        <f t="shared" si="87"/>
        <v>1</v>
      </c>
      <c r="H266" s="339">
        <f t="shared" si="88"/>
        <v>0</v>
      </c>
      <c r="I266" s="337">
        <f t="shared" si="89"/>
        <v>3157.8302348144598</v>
      </c>
      <c r="J266" s="340">
        <f t="shared" si="90"/>
        <v>1.570479653654685</v>
      </c>
      <c r="K266" s="348">
        <f t="shared" si="106"/>
        <v>3.1408381741643048</v>
      </c>
      <c r="L266" s="349">
        <f t="shared" si="107"/>
        <v>1.2467695603496471</v>
      </c>
      <c r="M266" s="337">
        <f t="shared" si="91"/>
        <v>1.000812886954223</v>
      </c>
      <c r="N266" s="340">
        <f t="shared" si="92"/>
        <v>4.030723710670657E-2</v>
      </c>
      <c r="O266" s="341">
        <f t="shared" si="93"/>
        <v>0.99993025713241279</v>
      </c>
      <c r="P266" s="342">
        <f t="shared" si="94"/>
        <v>2.0441063236724982E-2</v>
      </c>
      <c r="Q266" s="343">
        <f t="shared" si="95"/>
        <v>11.572653935702748</v>
      </c>
      <c r="R266" s="344">
        <f t="shared" si="96"/>
        <v>-108.85692912183892</v>
      </c>
      <c r="S266" s="346">
        <f t="shared" si="97"/>
        <v>71.143070878161083</v>
      </c>
      <c r="U266" s="319">
        <f t="shared" si="103"/>
        <v>1000000000</v>
      </c>
      <c r="V266" s="319">
        <f t="shared" si="104"/>
        <v>278639556.25</v>
      </c>
      <c r="X266" s="345">
        <f t="shared" si="98"/>
        <v>37.65330226574207</v>
      </c>
      <c r="Y266" s="346">
        <f t="shared" si="99"/>
        <v>-20.856656726044349</v>
      </c>
      <c r="AA266" s="345">
        <f t="shared" si="100"/>
        <v>30.717398682877437</v>
      </c>
      <c r="AB266" s="346">
        <f t="shared" si="101"/>
        <v>-88.000272395794553</v>
      </c>
      <c r="AD266">
        <f t="shared" si="105"/>
        <v>0</v>
      </c>
      <c r="AE266">
        <f t="shared" si="108"/>
        <v>0</v>
      </c>
    </row>
    <row r="267" spans="1:31" x14ac:dyDescent="0.2">
      <c r="A267" s="347">
        <v>16789</v>
      </c>
      <c r="B267" s="364">
        <f t="shared" si="102"/>
        <v>16.789000000000001</v>
      </c>
      <c r="C267" s="337">
        <f t="shared" si="83"/>
        <v>33.334813960691974</v>
      </c>
      <c r="D267" s="338">
        <f t="shared" si="84"/>
        <v>1.5407931580768599</v>
      </c>
      <c r="E267" s="338">
        <f t="shared" si="85"/>
        <v>1.000320429363365</v>
      </c>
      <c r="F267" s="339">
        <f t="shared" si="86"/>
        <v>2.5311808480362352E-2</v>
      </c>
      <c r="G267" s="338">
        <f t="shared" si="87"/>
        <v>1</v>
      </c>
      <c r="H267" s="339">
        <f t="shared" si="88"/>
        <v>0</v>
      </c>
      <c r="I267" s="337">
        <f t="shared" si="89"/>
        <v>3176.0857739600915</v>
      </c>
      <c r="J267" s="340">
        <f t="shared" si="90"/>
        <v>1.5704814738319444</v>
      </c>
      <c r="K267" s="348">
        <f t="shared" si="106"/>
        <v>3.1571596356086293</v>
      </c>
      <c r="L267" s="349">
        <f t="shared" si="107"/>
        <v>1.2485053619857869</v>
      </c>
      <c r="M267" s="337">
        <f t="shared" si="91"/>
        <v>1.0008223089119399</v>
      </c>
      <c r="N267" s="340">
        <f t="shared" si="92"/>
        <v>4.0540000339746127E-2</v>
      </c>
      <c r="O267" s="341">
        <f t="shared" si="93"/>
        <v>0.99992944885590707</v>
      </c>
      <c r="P267" s="342">
        <f t="shared" si="94"/>
        <v>2.0559267054015239E-2</v>
      </c>
      <c r="Q267" s="343">
        <f t="shared" si="95"/>
        <v>11.517538247292078</v>
      </c>
      <c r="R267" s="344">
        <f t="shared" si="96"/>
        <v>-108.77928785278858</v>
      </c>
      <c r="S267" s="346">
        <f t="shared" si="97"/>
        <v>71.220712147211415</v>
      </c>
      <c r="U267" s="319">
        <f t="shared" si="103"/>
        <v>1000000000</v>
      </c>
      <c r="V267" s="319">
        <f t="shared" si="104"/>
        <v>281870521</v>
      </c>
      <c r="X267" s="345">
        <f t="shared" si="98"/>
        <v>37.648171234204071</v>
      </c>
      <c r="Y267" s="346">
        <f t="shared" si="99"/>
        <v>-20.770643257477261</v>
      </c>
      <c r="AA267" s="345">
        <f t="shared" si="100"/>
        <v>30.667414026004771</v>
      </c>
      <c r="AB267" s="346">
        <f t="shared" si="101"/>
        <v>-88.008644595311324</v>
      </c>
      <c r="AD267">
        <f t="shared" si="105"/>
        <v>0</v>
      </c>
      <c r="AE267">
        <f t="shared" si="108"/>
        <v>0</v>
      </c>
    </row>
    <row r="268" spans="1:31" x14ac:dyDescent="0.2">
      <c r="A268" s="347">
        <v>16885.5</v>
      </c>
      <c r="B268" s="364">
        <f t="shared" si="102"/>
        <v>16.8855</v>
      </c>
      <c r="C268" s="337">
        <f t="shared" si="83"/>
        <v>33.526244238876068</v>
      </c>
      <c r="D268" s="338">
        <f t="shared" si="84"/>
        <v>1.540964523058473</v>
      </c>
      <c r="E268" s="338">
        <f t="shared" si="85"/>
        <v>1.0003241228858963</v>
      </c>
      <c r="F268" s="339">
        <f t="shared" si="86"/>
        <v>2.5457233303422859E-2</v>
      </c>
      <c r="G268" s="338">
        <f t="shared" si="87"/>
        <v>1</v>
      </c>
      <c r="H268" s="339">
        <f t="shared" si="88"/>
        <v>0</v>
      </c>
      <c r="I268" s="337">
        <f t="shared" si="89"/>
        <v>3194.341313116126</v>
      </c>
      <c r="J268" s="340">
        <f t="shared" si="90"/>
        <v>1.5704832732047158</v>
      </c>
      <c r="K268" s="348">
        <f t="shared" si="106"/>
        <v>3.1734905117341907</v>
      </c>
      <c r="L268" s="349">
        <f t="shared" si="107"/>
        <v>1.2502233037805892</v>
      </c>
      <c r="M268" s="337">
        <f t="shared" si="91"/>
        <v>1.0008317850919082</v>
      </c>
      <c r="N268" s="340">
        <f t="shared" si="92"/>
        <v>4.0772759177649776E-2</v>
      </c>
      <c r="O268" s="341">
        <f t="shared" si="93"/>
        <v>0.99992863593006209</v>
      </c>
      <c r="P268" s="342">
        <f t="shared" si="94"/>
        <v>2.0677471445857895E-2</v>
      </c>
      <c r="Q268" s="343">
        <f t="shared" si="95"/>
        <v>11.462789096139483</v>
      </c>
      <c r="R268" s="344">
        <f t="shared" si="96"/>
        <v>-108.70255510830889</v>
      </c>
      <c r="S268" s="346">
        <f t="shared" si="97"/>
        <v>71.297444891691114</v>
      </c>
      <c r="U268" s="319">
        <f t="shared" si="103"/>
        <v>1000000000</v>
      </c>
      <c r="V268" s="319">
        <f t="shared" si="104"/>
        <v>285120110.25</v>
      </c>
      <c r="X268" s="345">
        <f t="shared" si="98"/>
        <v>37.643120326892586</v>
      </c>
      <c r="Y268" s="346">
        <f t="shared" si="99"/>
        <v>-20.685651638610675</v>
      </c>
      <c r="AA268" s="345">
        <f t="shared" si="100"/>
        <v>30.617715782163661</v>
      </c>
      <c r="AB268" s="346">
        <f t="shared" si="101"/>
        <v>-88.016903469698221</v>
      </c>
      <c r="AD268">
        <f t="shared" si="105"/>
        <v>0</v>
      </c>
      <c r="AE268">
        <f t="shared" si="108"/>
        <v>0</v>
      </c>
    </row>
    <row r="269" spans="1:31" x14ac:dyDescent="0.2">
      <c r="A269" s="347">
        <v>16982</v>
      </c>
      <c r="B269" s="364">
        <f t="shared" si="102"/>
        <v>16.981999999999999</v>
      </c>
      <c r="C269" s="337">
        <f t="shared" ref="C269:C332" si="109">SQRT(1+(A269/pole1)^2)</f>
        <v>33.717675490411146</v>
      </c>
      <c r="D269" s="338">
        <f t="shared" ref="D269:D332" si="110">ATAN(A269/pole1)</f>
        <v>1.5411339422042989</v>
      </c>
      <c r="E269" s="338">
        <f t="shared" ref="E269:E332" si="111">SQRT(1+(A269/Zero1)^2)</f>
        <v>1.000327837563505</v>
      </c>
      <c r="F269" s="339">
        <f t="shared" ref="F269:F332" si="112">ATAN(A269/Zero1)</f>
        <v>2.5602657049500245E-2</v>
      </c>
      <c r="G269" s="338">
        <f t="shared" ref="G269:G332" si="113">IF(VIN_nom&gt;Vout, 1, SQRT(1+(A269/z_RHP)^2))</f>
        <v>1</v>
      </c>
      <c r="H269" s="339">
        <f t="shared" ref="H269:H332" si="114">IF(VIN_nom&gt;Vout, 0, -ATAN(A269/z_RHP))</f>
        <v>0</v>
      </c>
      <c r="I269" s="337">
        <f t="shared" ref="I269:I332" si="115">SQRT(1+(A269/Pole2)^2)</f>
        <v>3212.596852282385</v>
      </c>
      <c r="J269" s="340">
        <f t="shared" ref="J269:J332" si="116">ATAN(A269/Pole2)</f>
        <v>1.5704850521276634</v>
      </c>
      <c r="K269" s="348">
        <f t="shared" si="106"/>
        <v>3.1898306579408469</v>
      </c>
      <c r="L269" s="349">
        <f t="shared" si="107"/>
        <v>1.2519236499801598</v>
      </c>
      <c r="M269" s="337">
        <f t="shared" ref="M269:M332" si="117">SQRT(1+(A269/pole4)^2)</f>
        <v>1.0008413154925881</v>
      </c>
      <c r="N269" s="340">
        <f t="shared" ref="N269:N332" si="118">ATAN(A269/pole4)</f>
        <v>4.1005513595322535E-2</v>
      </c>
      <c r="O269" s="341">
        <f t="shared" ref="O269:O332" si="119">SQRT((1-(V269/pterm2))^2+(A269/pterm1)^2)</f>
        <v>0.99992781835504774</v>
      </c>
      <c r="P269" s="342">
        <f t="shared" ref="P269:P332" si="120">IF((ATAN((A269/pterm1)/(1-A269^2/pterm2))&gt;0),ATAN((A269/pterm1)/(1-A269^2/pterm2)),PI()+ATAN((A269/pterm1)/(1-A269^2/pterm2)))</f>
        <v>2.0795676415554763E-2</v>
      </c>
      <c r="Q269" s="343">
        <f t="shared" ref="Q269:Q332" si="121">20*LOG10(((E269*K269*G269)/(C269*I269*O269*M269))*Adc)</f>
        <v>11.408401550675961</v>
      </c>
      <c r="R269" s="344">
        <f t="shared" ref="R269:R332" si="122">((F269+L269+H269)-(D269+J269+P269+N269))*radconv</f>
        <v>-108.62671769886281</v>
      </c>
      <c r="S269" s="346">
        <f t="shared" ref="S269:S332" si="123">IF(R269&gt;0,R269,R269+180)</f>
        <v>71.373282301137195</v>
      </c>
      <c r="U269" s="319">
        <f t="shared" si="103"/>
        <v>1000000000</v>
      </c>
      <c r="V269" s="319">
        <f t="shared" si="104"/>
        <v>288388324</v>
      </c>
      <c r="X269" s="345">
        <f t="shared" ref="X269:X332" si="124">20*LOG10((K269/(I269*M269))*AEA)</f>
        <v>37.638147865358022</v>
      </c>
      <c r="Y269" s="346">
        <f t="shared" ref="Y269:Y332" si="125">(L269-(J269+N269))*radconv</f>
        <v>-20.601666748140847</v>
      </c>
      <c r="AA269" s="345">
        <f t="shared" ref="AA269:AA332" si="126">20*LOG10((E269*G269/(C269*O269))*Acs*Am)</f>
        <v>30.568300698234701</v>
      </c>
      <c r="AB269" s="346">
        <f t="shared" ref="AB269:AB332" si="127">(F269+H269-(D269+P269))*radconv</f>
        <v>-88.025050950721948</v>
      </c>
      <c r="AD269">
        <f t="shared" si="105"/>
        <v>0</v>
      </c>
      <c r="AE269">
        <f t="shared" si="108"/>
        <v>0</v>
      </c>
    </row>
    <row r="270" spans="1:31" x14ac:dyDescent="0.2">
      <c r="A270" s="347">
        <v>17081</v>
      </c>
      <c r="B270" s="364">
        <f t="shared" ref="B270:B333" si="128">A270/1000</f>
        <v>17.081</v>
      </c>
      <c r="C270" s="337">
        <f t="shared" si="109"/>
        <v>33.914067095019959</v>
      </c>
      <c r="D270" s="338">
        <f t="shared" si="110"/>
        <v>1.5413057628705016</v>
      </c>
      <c r="E270" s="338">
        <f t="shared" si="111"/>
        <v>1.0003316704603027</v>
      </c>
      <c r="F270" s="339">
        <f t="shared" si="112"/>
        <v>2.5751847124508467E-2</v>
      </c>
      <c r="G270" s="338">
        <f t="shared" si="113"/>
        <v>1</v>
      </c>
      <c r="H270" s="339">
        <f t="shared" si="114"/>
        <v>0</v>
      </c>
      <c r="I270" s="337">
        <f t="shared" si="115"/>
        <v>3231.3253328882661</v>
      </c>
      <c r="J270" s="340">
        <f t="shared" si="116"/>
        <v>1.5704868562486214</v>
      </c>
      <c r="K270" s="348">
        <f t="shared" si="106"/>
        <v>3.206603608883881</v>
      </c>
      <c r="L270" s="349">
        <f t="shared" si="107"/>
        <v>1.2536500330562808</v>
      </c>
      <c r="M270" s="337">
        <f t="shared" si="117"/>
        <v>1.0008511491391456</v>
      </c>
      <c r="N270" s="340">
        <f t="shared" si="118"/>
        <v>4.1244293300403231E-2</v>
      </c>
      <c r="O270" s="341">
        <f t="shared" si="119"/>
        <v>0.99992697476811654</v>
      </c>
      <c r="P270" s="342">
        <f t="shared" si="120"/>
        <v>2.0916944294130473E-2</v>
      </c>
      <c r="Q270" s="343">
        <f t="shared" si="121"/>
        <v>11.352975714632594</v>
      </c>
      <c r="R270" s="344">
        <f t="shared" si="122"/>
        <v>-108.54983244753777</v>
      </c>
      <c r="S270" s="346">
        <f t="shared" si="123"/>
        <v>71.450167552462233</v>
      </c>
      <c r="U270" s="319">
        <f t="shared" ref="U270:U333" si="129">IF(Q270&lt;0,A270,1000000000)</f>
        <v>1000000000</v>
      </c>
      <c r="V270" s="319">
        <f t="shared" ref="V270:V333" si="130">A270^2</f>
        <v>291760561</v>
      </c>
      <c r="X270" s="345">
        <f t="shared" si="124"/>
        <v>37.633126389901108</v>
      </c>
      <c r="Y270" s="346">
        <f t="shared" si="125"/>
        <v>-20.516536721810152</v>
      </c>
      <c r="AA270" s="345">
        <f t="shared" si="126"/>
        <v>30.517896337648249</v>
      </c>
      <c r="AB270" s="346">
        <f t="shared" si="127"/>
        <v>-88.033295725727584</v>
      </c>
      <c r="AD270">
        <f t="shared" ref="AD270:AD333" si="131">SUM((Q271&lt;0)*(Q270&gt;0))*A270</f>
        <v>0</v>
      </c>
      <c r="AE270">
        <f t="shared" si="108"/>
        <v>0</v>
      </c>
    </row>
    <row r="271" spans="1:31" x14ac:dyDescent="0.2">
      <c r="A271" s="347">
        <v>17180</v>
      </c>
      <c r="B271" s="364">
        <f t="shared" si="128"/>
        <v>17.18</v>
      </c>
      <c r="C271" s="337">
        <f t="shared" si="109"/>
        <v>34.110459689322298</v>
      </c>
      <c r="D271" s="338">
        <f t="shared" si="110"/>
        <v>1.5414756050103522</v>
      </c>
      <c r="E271" s="338">
        <f t="shared" si="111"/>
        <v>1.0003355256219906</v>
      </c>
      <c r="F271" s="339">
        <f t="shared" si="112"/>
        <v>2.5901036052919373E-2</v>
      </c>
      <c r="G271" s="338">
        <f t="shared" si="113"/>
        <v>1</v>
      </c>
      <c r="H271" s="339">
        <f t="shared" si="114"/>
        <v>0</v>
      </c>
      <c r="I271" s="337">
        <f t="shared" si="115"/>
        <v>3250.0538135045431</v>
      </c>
      <c r="J271" s="340">
        <f t="shared" si="116"/>
        <v>1.5704886395770348</v>
      </c>
      <c r="K271" s="348">
        <f t="shared" si="106"/>
        <v>3.2233860173074542</v>
      </c>
      <c r="L271" s="349">
        <f t="shared" si="107"/>
        <v>1.2553584445147092</v>
      </c>
      <c r="M271" s="337">
        <f t="shared" si="117"/>
        <v>1.0008610398488564</v>
      </c>
      <c r="N271" s="340">
        <f t="shared" si="118"/>
        <v>4.148306829975968E-2</v>
      </c>
      <c r="O271" s="341">
        <f t="shared" si="119"/>
        <v>0.99992612628837219</v>
      </c>
      <c r="P271" s="342">
        <f t="shared" si="120"/>
        <v>2.1038212787929014E-2</v>
      </c>
      <c r="Q271" s="343">
        <f t="shared" si="121"/>
        <v>11.297920261141776</v>
      </c>
      <c r="R271" s="344">
        <f t="shared" si="122"/>
        <v>-108.47386217285059</v>
      </c>
      <c r="S271" s="346">
        <f t="shared" si="123"/>
        <v>71.526137827149412</v>
      </c>
      <c r="U271" s="319">
        <f t="shared" si="129"/>
        <v>1000000000</v>
      </c>
      <c r="V271" s="319">
        <f t="shared" si="130"/>
        <v>295152400</v>
      </c>
      <c r="X271" s="345">
        <f t="shared" si="124"/>
        <v>37.628184035312017</v>
      </c>
      <c r="Y271" s="346">
        <f t="shared" si="125"/>
        <v>-20.432434932382257</v>
      </c>
      <c r="AA271" s="345">
        <f t="shared" si="126"/>
        <v>30.467783238746527</v>
      </c>
      <c r="AB271" s="346">
        <f t="shared" si="127"/>
        <v>-88.041427240468337</v>
      </c>
      <c r="AD271">
        <f t="shared" si="131"/>
        <v>0</v>
      </c>
      <c r="AE271">
        <f t="shared" si="108"/>
        <v>0</v>
      </c>
    </row>
    <row r="272" spans="1:31" x14ac:dyDescent="0.2">
      <c r="A272" s="347">
        <v>17279</v>
      </c>
      <c r="B272" s="364">
        <f t="shared" si="128"/>
        <v>17.279</v>
      </c>
      <c r="C272" s="337">
        <f t="shared" si="109"/>
        <v>34.306853256321411</v>
      </c>
      <c r="D272" s="338">
        <f t="shared" si="110"/>
        <v>1.5416435025928787</v>
      </c>
      <c r="E272" s="338">
        <f t="shared" si="111"/>
        <v>1.0003394030483106</v>
      </c>
      <c r="F272" s="339">
        <f t="shared" si="112"/>
        <v>2.6050223828105158E-2</v>
      </c>
      <c r="G272" s="338">
        <f t="shared" si="113"/>
        <v>1</v>
      </c>
      <c r="H272" s="339">
        <f t="shared" si="114"/>
        <v>0</v>
      </c>
      <c r="I272" s="337">
        <f t="shared" si="115"/>
        <v>3268.7822941310378</v>
      </c>
      <c r="J272" s="340">
        <f t="shared" si="116"/>
        <v>1.5704904024702961</v>
      </c>
      <c r="K272" s="348">
        <f t="shared" si="106"/>
        <v>3.2401777362573139</v>
      </c>
      <c r="L272" s="349">
        <f t="shared" si="107"/>
        <v>1.257049153710015</v>
      </c>
      <c r="M272" s="337">
        <f t="shared" si="117"/>
        <v>1.000870987620029</v>
      </c>
      <c r="N272" s="340">
        <f t="shared" si="118"/>
        <v>4.1721838566305E-2</v>
      </c>
      <c r="O272" s="341">
        <f t="shared" si="119"/>
        <v>0.99992527291600186</v>
      </c>
      <c r="P272" s="342">
        <f t="shared" si="120"/>
        <v>2.1159481900515472E-2</v>
      </c>
      <c r="Q272" s="343">
        <f t="shared" si="121"/>
        <v>11.243230178137289</v>
      </c>
      <c r="R272" s="344">
        <f t="shared" si="122"/>
        <v>-108.39879340771232</v>
      </c>
      <c r="S272" s="346">
        <f t="shared" si="123"/>
        <v>71.601206592287681</v>
      </c>
      <c r="U272" s="319">
        <f t="shared" si="129"/>
        <v>1000000000</v>
      </c>
      <c r="V272" s="319">
        <f t="shared" si="130"/>
        <v>298563841</v>
      </c>
      <c r="X272" s="345">
        <f t="shared" si="124"/>
        <v>37.623319125376057</v>
      </c>
      <c r="Y272" s="346">
        <f t="shared" si="125"/>
        <v>-20.349345965902195</v>
      </c>
      <c r="AA272" s="345">
        <f t="shared" si="126"/>
        <v>30.417958065677997</v>
      </c>
      <c r="AB272" s="346">
        <f t="shared" si="127"/>
        <v>-88.04944744181013</v>
      </c>
      <c r="AD272">
        <f t="shared" si="131"/>
        <v>0</v>
      </c>
      <c r="AE272">
        <f t="shared" si="108"/>
        <v>0</v>
      </c>
    </row>
    <row r="273" spans="1:31" x14ac:dyDescent="0.2">
      <c r="A273" s="347">
        <v>17378</v>
      </c>
      <c r="B273" s="364">
        <f t="shared" si="128"/>
        <v>17.378</v>
      </c>
      <c r="C273" s="337">
        <f t="shared" si="109"/>
        <v>34.503247779407417</v>
      </c>
      <c r="D273" s="338">
        <f t="shared" si="110"/>
        <v>1.5418094888141385</v>
      </c>
      <c r="E273" s="338">
        <f t="shared" si="111"/>
        <v>1.0003433027390041</v>
      </c>
      <c r="F273" s="339">
        <f t="shared" si="112"/>
        <v>2.6199410443438331E-2</v>
      </c>
      <c r="G273" s="338">
        <f t="shared" si="113"/>
        <v>1</v>
      </c>
      <c r="H273" s="339">
        <f t="shared" si="114"/>
        <v>0</v>
      </c>
      <c r="I273" s="337">
        <f t="shared" si="115"/>
        <v>3287.5107747675756</v>
      </c>
      <c r="J273" s="340">
        <f t="shared" si="116"/>
        <v>1.5704921452776537</v>
      </c>
      <c r="K273" s="348">
        <f t="shared" si="106"/>
        <v>3.2569786217290742</v>
      </c>
      <c r="L273" s="349">
        <f t="shared" si="107"/>
        <v>1.2587224248484381</v>
      </c>
      <c r="M273" s="337">
        <f t="shared" si="117"/>
        <v>1.0008809924509614</v>
      </c>
      <c r="N273" s="340">
        <f t="shared" si="118"/>
        <v>4.1960604072955536E-2</v>
      </c>
      <c r="O273" s="341">
        <f t="shared" si="119"/>
        <v>0.99992441465119375</v>
      </c>
      <c r="P273" s="342">
        <f t="shared" si="120"/>
        <v>2.1280751635454908E-2</v>
      </c>
      <c r="Q273" s="343">
        <f t="shared" si="121"/>
        <v>11.188900553731163</v>
      </c>
      <c r="R273" s="344">
        <f t="shared" si="122"/>
        <v>-108.32461293525709</v>
      </c>
      <c r="S273" s="346">
        <f t="shared" si="123"/>
        <v>71.675387064742907</v>
      </c>
      <c r="U273" s="319">
        <f t="shared" si="129"/>
        <v>1000000000</v>
      </c>
      <c r="V273" s="319">
        <f t="shared" si="130"/>
        <v>301994884</v>
      </c>
      <c r="X273" s="345">
        <f t="shared" si="124"/>
        <v>37.618530027077028</v>
      </c>
      <c r="Y273" s="346">
        <f t="shared" si="125"/>
        <v>-20.267254702926166</v>
      </c>
      <c r="AA273" s="345">
        <f t="shared" si="126"/>
        <v>30.368417539570896</v>
      </c>
      <c r="AB273" s="346">
        <f t="shared" si="127"/>
        <v>-88.057358232330941</v>
      </c>
      <c r="AD273">
        <f t="shared" si="131"/>
        <v>0</v>
      </c>
      <c r="AE273">
        <f t="shared" si="108"/>
        <v>0</v>
      </c>
    </row>
    <row r="274" spans="1:31" x14ac:dyDescent="0.2">
      <c r="A274" s="347">
        <v>17479.25</v>
      </c>
      <c r="B274" s="364">
        <f t="shared" si="128"/>
        <v>17.47925</v>
      </c>
      <c r="C274" s="337">
        <f t="shared" si="109"/>
        <v>34.704106786392899</v>
      </c>
      <c r="D274" s="338">
        <f t="shared" si="110"/>
        <v>1.5419773042438623</v>
      </c>
      <c r="E274" s="338">
        <f t="shared" si="111"/>
        <v>1.0003473140878965</v>
      </c>
      <c r="F274" s="339">
        <f t="shared" si="112"/>
        <v>2.6351986457066101E-2</v>
      </c>
      <c r="G274" s="338">
        <f t="shared" si="113"/>
        <v>1</v>
      </c>
      <c r="H274" s="339">
        <f t="shared" si="114"/>
        <v>0</v>
      </c>
      <c r="I274" s="337">
        <f t="shared" si="115"/>
        <v>3306.6649027015173</v>
      </c>
      <c r="J274" s="340">
        <f t="shared" si="116"/>
        <v>1.5704939072741202</v>
      </c>
      <c r="K274" s="348">
        <f t="shared" si="106"/>
        <v>3.274170679828535</v>
      </c>
      <c r="L274" s="349">
        <f t="shared" si="107"/>
        <v>1.2604159579155345</v>
      </c>
      <c r="M274" s="337">
        <f t="shared" si="117"/>
        <v>1.0008912836823476</v>
      </c>
      <c r="N274" s="340">
        <f t="shared" si="118"/>
        <v>4.2204791116777579E-2</v>
      </c>
      <c r="O274" s="341">
        <f t="shared" si="119"/>
        <v>0.99992353182007532</v>
      </c>
      <c r="P274" s="342">
        <f t="shared" si="120"/>
        <v>2.1404778148179614E-2</v>
      </c>
      <c r="Q274" s="343">
        <f t="shared" si="121"/>
        <v>11.133703988353481</v>
      </c>
      <c r="R274" s="344">
        <f t="shared" si="122"/>
        <v>-108.24965182989622</v>
      </c>
      <c r="S274" s="346">
        <f t="shared" si="123"/>
        <v>71.750348170103777</v>
      </c>
      <c r="U274" s="319">
        <f t="shared" si="129"/>
        <v>1000000000</v>
      </c>
      <c r="V274" s="319">
        <f t="shared" si="130"/>
        <v>305524180.5625</v>
      </c>
      <c r="X274" s="345">
        <f t="shared" si="124"/>
        <v>37.613708843332972</v>
      </c>
      <c r="Y274" s="346">
        <f t="shared" si="125"/>
        <v>-20.184314247604753</v>
      </c>
      <c r="AA274" s="345">
        <f t="shared" si="126"/>
        <v>30.318042157937267</v>
      </c>
      <c r="AB274" s="346">
        <f t="shared" si="127"/>
        <v>-88.065337582291463</v>
      </c>
      <c r="AD274">
        <f t="shared" si="131"/>
        <v>0</v>
      </c>
      <c r="AE274">
        <f t="shared" si="108"/>
        <v>0</v>
      </c>
    </row>
    <row r="275" spans="1:31" x14ac:dyDescent="0.2">
      <c r="A275" s="347">
        <v>17580.5</v>
      </c>
      <c r="B275" s="364">
        <f t="shared" si="128"/>
        <v>17.580500000000001</v>
      </c>
      <c r="C275" s="337">
        <f t="shared" si="109"/>
        <v>34.904966759467968</v>
      </c>
      <c r="D275" s="338">
        <f t="shared" si="110"/>
        <v>1.5421431882967609</v>
      </c>
      <c r="E275" s="338">
        <f t="shared" si="111"/>
        <v>1.0003513487241269</v>
      </c>
      <c r="F275" s="339">
        <f t="shared" si="112"/>
        <v>2.6504561243500695E-2</v>
      </c>
      <c r="G275" s="338">
        <f t="shared" si="113"/>
        <v>1</v>
      </c>
      <c r="H275" s="339">
        <f t="shared" si="114"/>
        <v>0</v>
      </c>
      <c r="I275" s="337">
        <f t="shared" si="115"/>
        <v>3325.8190306456067</v>
      </c>
      <c r="J275" s="340">
        <f t="shared" si="116"/>
        <v>1.5704956489751316</v>
      </c>
      <c r="K275" s="348">
        <f t="shared" si="106"/>
        <v>3.2913720303113849</v>
      </c>
      <c r="L275" s="349">
        <f t="shared" si="107"/>
        <v>1.2620917942807686</v>
      </c>
      <c r="M275" s="337">
        <f t="shared" si="117"/>
        <v>1.0009016345929616</v>
      </c>
      <c r="N275" s="340">
        <f t="shared" si="118"/>
        <v>4.2448973124596522E-2</v>
      </c>
      <c r="O275" s="341">
        <f t="shared" si="119"/>
        <v>0.99992264387200969</v>
      </c>
      <c r="P275" s="342">
        <f t="shared" si="120"/>
        <v>2.1528805319410167E-2</v>
      </c>
      <c r="Q275" s="343">
        <f t="shared" si="121"/>
        <v>11.078874369745982</v>
      </c>
      <c r="R275" s="344">
        <f t="shared" si="122"/>
        <v>-108.17559266778058</v>
      </c>
      <c r="S275" s="346">
        <f t="shared" si="123"/>
        <v>71.824407332219423</v>
      </c>
      <c r="U275" s="319">
        <f t="shared" si="129"/>
        <v>1000000000</v>
      </c>
      <c r="V275" s="319">
        <f t="shared" si="130"/>
        <v>309073980.25</v>
      </c>
      <c r="X275" s="345">
        <f t="shared" si="124"/>
        <v>37.608963634102665</v>
      </c>
      <c r="Y275" s="346">
        <f t="shared" si="125"/>
        <v>-20.102386287226867</v>
      </c>
      <c r="AA275" s="345">
        <f t="shared" si="126"/>
        <v>30.267957748560082</v>
      </c>
      <c r="AB275" s="346">
        <f t="shared" si="127"/>
        <v>-88.073206380553714</v>
      </c>
      <c r="AD275">
        <f t="shared" si="131"/>
        <v>0</v>
      </c>
      <c r="AE275">
        <f t="shared" si="108"/>
        <v>0</v>
      </c>
    </row>
    <row r="276" spans="1:31" x14ac:dyDescent="0.2">
      <c r="A276" s="347">
        <v>17681.75</v>
      </c>
      <c r="B276" s="364">
        <f t="shared" si="128"/>
        <v>17.681750000000001</v>
      </c>
      <c r="C276" s="337">
        <f t="shared" si="109"/>
        <v>35.105827682050027</v>
      </c>
      <c r="D276" s="338">
        <f t="shared" si="110"/>
        <v>1.5423071741152263</v>
      </c>
      <c r="E276" s="338">
        <f t="shared" si="111"/>
        <v>1.0003554066474138</v>
      </c>
      <c r="F276" s="339">
        <f t="shared" si="112"/>
        <v>2.665713479565341E-2</v>
      </c>
      <c r="G276" s="338">
        <f t="shared" si="113"/>
        <v>1</v>
      </c>
      <c r="H276" s="339">
        <f t="shared" si="114"/>
        <v>0</v>
      </c>
      <c r="I276" s="337">
        <f t="shared" si="115"/>
        <v>3344.9731585996697</v>
      </c>
      <c r="J276" s="340">
        <f t="shared" si="116"/>
        <v>1.5704973707293375</v>
      </c>
      <c r="K276" s="348">
        <f t="shared" si="106"/>
        <v>3.3085825282440724</v>
      </c>
      <c r="L276" s="349">
        <f t="shared" si="107"/>
        <v>1.2637502006198134</v>
      </c>
      <c r="M276" s="337">
        <f t="shared" si="117"/>
        <v>1.0009120451809519</v>
      </c>
      <c r="N276" s="340">
        <f t="shared" si="118"/>
        <v>4.2693150067450433E-2</v>
      </c>
      <c r="O276" s="341">
        <f t="shared" si="119"/>
        <v>0.99992175080720169</v>
      </c>
      <c r="P276" s="342">
        <f t="shared" si="120"/>
        <v>2.1652833152960228E-2</v>
      </c>
      <c r="Q276" s="343">
        <f t="shared" si="121"/>
        <v>11.024406751937001</v>
      </c>
      <c r="R276" s="344">
        <f t="shared" si="122"/>
        <v>-108.10242208738022</v>
      </c>
      <c r="S276" s="346">
        <f t="shared" si="123"/>
        <v>71.897577912619781</v>
      </c>
      <c r="U276" s="319">
        <f t="shared" si="129"/>
        <v>1000000000</v>
      </c>
      <c r="V276" s="319">
        <f t="shared" si="130"/>
        <v>312644283.0625</v>
      </c>
      <c r="X276" s="345">
        <f t="shared" si="124"/>
        <v>37.604292784314339</v>
      </c>
      <c r="Y276" s="346">
        <f t="shared" si="125"/>
        <v>-20.021455560718667</v>
      </c>
      <c r="AA276" s="345">
        <f t="shared" si="126"/>
        <v>30.218160980539427</v>
      </c>
      <c r="AB276" s="346">
        <f t="shared" si="127"/>
        <v>-88.080966526661541</v>
      </c>
      <c r="AD276">
        <f t="shared" si="131"/>
        <v>0</v>
      </c>
      <c r="AE276">
        <f t="shared" si="108"/>
        <v>0</v>
      </c>
    </row>
    <row r="277" spans="1:31" x14ac:dyDescent="0.2">
      <c r="A277" s="347">
        <v>17783</v>
      </c>
      <c r="B277" s="364">
        <f t="shared" si="128"/>
        <v>17.783000000000001</v>
      </c>
      <c r="C277" s="337">
        <f t="shared" si="109"/>
        <v>35.306689537933728</v>
      </c>
      <c r="D277" s="338">
        <f t="shared" si="110"/>
        <v>1.5424692940878688</v>
      </c>
      <c r="E277" s="338">
        <f t="shared" si="111"/>
        <v>1.0003594878574738</v>
      </c>
      <c r="F277" s="339">
        <f t="shared" si="112"/>
        <v>2.680970710643589E-2</v>
      </c>
      <c r="G277" s="338">
        <f t="shared" si="113"/>
        <v>1</v>
      </c>
      <c r="H277" s="339">
        <f t="shared" si="114"/>
        <v>0</v>
      </c>
      <c r="I277" s="337">
        <f t="shared" si="115"/>
        <v>3364.1272865635356</v>
      </c>
      <c r="J277" s="340">
        <f t="shared" si="116"/>
        <v>1.5704990728774479</v>
      </c>
      <c r="K277" s="348">
        <f t="shared" si="106"/>
        <v>3.3258020316167931</v>
      </c>
      <c r="L277" s="349">
        <f t="shared" si="107"/>
        <v>1.2653914384733584</v>
      </c>
      <c r="M277" s="337">
        <f t="shared" si="117"/>
        <v>1.0009225154444563</v>
      </c>
      <c r="N277" s="340">
        <f t="shared" si="118"/>
        <v>4.2937321916380979E-2</v>
      </c>
      <c r="O277" s="341">
        <f t="shared" si="119"/>
        <v>0.99992085262585739</v>
      </c>
      <c r="P277" s="342">
        <f t="shared" si="120"/>
        <v>2.1776861652643448E-2</v>
      </c>
      <c r="Q277" s="343">
        <f t="shared" si="121"/>
        <v>10.970296287595287</v>
      </c>
      <c r="R277" s="344">
        <f t="shared" si="122"/>
        <v>-108.03012697773481</v>
      </c>
      <c r="S277" s="346">
        <f t="shared" si="123"/>
        <v>71.96987302226519</v>
      </c>
      <c r="U277" s="319">
        <f t="shared" si="129"/>
        <v>1000000000</v>
      </c>
      <c r="V277" s="319">
        <f t="shared" si="130"/>
        <v>316235089</v>
      </c>
      <c r="X277" s="345">
        <f t="shared" si="124"/>
        <v>37.599694720664942</v>
      </c>
      <c r="Y277" s="346">
        <f t="shared" si="125"/>
        <v>-19.941507100764532</v>
      </c>
      <c r="AA277" s="345">
        <f t="shared" si="126"/>
        <v>30.168648579847101</v>
      </c>
      <c r="AB277" s="346">
        <f t="shared" si="127"/>
        <v>-88.08861987697027</v>
      </c>
      <c r="AD277">
        <f t="shared" si="131"/>
        <v>0</v>
      </c>
      <c r="AE277">
        <f t="shared" si="108"/>
        <v>0</v>
      </c>
    </row>
    <row r="278" spans="1:31" x14ac:dyDescent="0.2">
      <c r="A278" s="347">
        <v>17886.5</v>
      </c>
      <c r="B278" s="364">
        <f t="shared" si="128"/>
        <v>17.886500000000002</v>
      </c>
      <c r="C278" s="337">
        <f t="shared" si="109"/>
        <v>35.512015938767227</v>
      </c>
      <c r="D278" s="338">
        <f t="shared" si="110"/>
        <v>1.5426331211825577</v>
      </c>
      <c r="E278" s="338">
        <f t="shared" si="111"/>
        <v>1.0003636838295422</v>
      </c>
      <c r="F278" s="339">
        <f t="shared" si="112"/>
        <v>2.6965668622577481E-2</v>
      </c>
      <c r="G278" s="338">
        <f t="shared" si="113"/>
        <v>1</v>
      </c>
      <c r="H278" s="339">
        <f t="shared" si="114"/>
        <v>0</v>
      </c>
      <c r="I278" s="337">
        <f t="shared" si="115"/>
        <v>3383.7070618254465</v>
      </c>
      <c r="J278" s="340">
        <f t="shared" si="116"/>
        <v>1.5705007929332813</v>
      </c>
      <c r="K278" s="348">
        <f t="shared" si="106"/>
        <v>3.343413353585321</v>
      </c>
      <c r="L278" s="349">
        <f t="shared" si="107"/>
        <v>1.267051670344822</v>
      </c>
      <c r="M278" s="337">
        <f t="shared" si="117"/>
        <v>1.000933280057966</v>
      </c>
      <c r="N278" s="340">
        <f t="shared" si="118"/>
        <v>4.318691451127165E-2</v>
      </c>
      <c r="O278" s="341">
        <f t="shared" si="119"/>
        <v>0.99991992919679229</v>
      </c>
      <c r="P278" s="342">
        <f t="shared" si="120"/>
        <v>2.19036470336815E-2</v>
      </c>
      <c r="Q278" s="343">
        <f t="shared" si="121"/>
        <v>10.915347568631834</v>
      </c>
      <c r="R278" s="344">
        <f t="shared" si="122"/>
        <v>-107.95711678431975</v>
      </c>
      <c r="S278" s="346">
        <f t="shared" si="123"/>
        <v>72.042883215680249</v>
      </c>
      <c r="U278" s="319">
        <f t="shared" si="129"/>
        <v>1000000000</v>
      </c>
      <c r="V278" s="319">
        <f t="shared" si="130"/>
        <v>319926882.25</v>
      </c>
      <c r="X278" s="345">
        <f t="shared" si="124"/>
        <v>37.595068112355463</v>
      </c>
      <c r="Y278" s="346">
        <f t="shared" si="125"/>
        <v>-19.860781975649051</v>
      </c>
      <c r="AA278" s="345">
        <f t="shared" si="126"/>
        <v>30.118326469193132</v>
      </c>
      <c r="AB278" s="346">
        <f t="shared" si="127"/>
        <v>-88.096334808670719</v>
      </c>
      <c r="AD278">
        <f t="shared" si="131"/>
        <v>0</v>
      </c>
      <c r="AE278">
        <f t="shared" si="108"/>
        <v>0</v>
      </c>
    </row>
    <row r="279" spans="1:31" x14ac:dyDescent="0.2">
      <c r="A279" s="347">
        <v>17990</v>
      </c>
      <c r="B279" s="364">
        <f t="shared" si="128"/>
        <v>17.989999999999998</v>
      </c>
      <c r="C279" s="337">
        <f t="shared" si="109"/>
        <v>35.717343281760684</v>
      </c>
      <c r="D279" s="338">
        <f t="shared" si="110"/>
        <v>1.5427950647046125</v>
      </c>
      <c r="E279" s="338">
        <f t="shared" si="111"/>
        <v>1.000367904134247</v>
      </c>
      <c r="F279" s="339">
        <f t="shared" si="112"/>
        <v>2.7121628826586513E-2</v>
      </c>
      <c r="G279" s="338">
        <f t="shared" si="113"/>
        <v>1</v>
      </c>
      <c r="H279" s="339">
        <f t="shared" si="114"/>
        <v>0</v>
      </c>
      <c r="I279" s="337">
        <f t="shared" si="115"/>
        <v>3403.2868370972533</v>
      </c>
      <c r="J279" s="340">
        <f t="shared" si="116"/>
        <v>1.5705024931974787</v>
      </c>
      <c r="K279" s="348">
        <f t="shared" ref="K279:K342" si="132">SQRT(1+(A279/Zero2)^2)</f>
        <v>3.3610337946452913</v>
      </c>
      <c r="L279" s="349">
        <f t="shared" ref="L279:L342" si="133">ATAN(A279/Zero2)</f>
        <v>1.2686944989551638</v>
      </c>
      <c r="M279" s="337">
        <f t="shared" si="117"/>
        <v>1.0009441070247358</v>
      </c>
      <c r="N279" s="340">
        <f t="shared" si="118"/>
        <v>4.3436501722146754E-2</v>
      </c>
      <c r="O279" s="341">
        <f t="shared" si="119"/>
        <v>0.99991900042170134</v>
      </c>
      <c r="P279" s="342">
        <f t="shared" si="120"/>
        <v>2.2030433118846157E-2</v>
      </c>
      <c r="Q279" s="343">
        <f t="shared" si="121"/>
        <v>10.860762114582901</v>
      </c>
      <c r="R279" s="344">
        <f t="shared" si="122"/>
        <v>-107.88499447661999</v>
      </c>
      <c r="S279" s="346">
        <f t="shared" si="123"/>
        <v>72.115005523380006</v>
      </c>
      <c r="U279" s="319">
        <f t="shared" si="129"/>
        <v>1000000000</v>
      </c>
      <c r="V279" s="319">
        <f t="shared" si="130"/>
        <v>323640100</v>
      </c>
      <c r="X279" s="345">
        <f t="shared" si="124"/>
        <v>37.590514364657714</v>
      </c>
      <c r="Y279" s="346">
        <f t="shared" si="125"/>
        <v>-19.781052541488179</v>
      </c>
      <c r="AA279" s="345">
        <f t="shared" si="126"/>
        <v>30.068294762841951</v>
      </c>
      <c r="AB279" s="346">
        <f t="shared" si="127"/>
        <v>-88.103941935131829</v>
      </c>
      <c r="AD279">
        <f t="shared" si="131"/>
        <v>0</v>
      </c>
      <c r="AE279">
        <f t="shared" si="108"/>
        <v>0</v>
      </c>
    </row>
    <row r="280" spans="1:31" x14ac:dyDescent="0.2">
      <c r="A280" s="347">
        <v>18093.5</v>
      </c>
      <c r="B280" s="364">
        <f t="shared" si="128"/>
        <v>18.093499999999999</v>
      </c>
      <c r="C280" s="337">
        <f t="shared" si="109"/>
        <v>35.922671550758452</v>
      </c>
      <c r="D280" s="338">
        <f t="shared" si="110"/>
        <v>1.5429551569440689</v>
      </c>
      <c r="E280" s="338">
        <f t="shared" si="111"/>
        <v>1.00037214877128</v>
      </c>
      <c r="F280" s="339">
        <f t="shared" si="112"/>
        <v>2.7277587710892622E-2</v>
      </c>
      <c r="G280" s="338">
        <f t="shared" si="113"/>
        <v>1</v>
      </c>
      <c r="H280" s="339">
        <f t="shared" si="114"/>
        <v>0</v>
      </c>
      <c r="I280" s="337">
        <f t="shared" si="115"/>
        <v>3422.8666123787857</v>
      </c>
      <c r="J280" s="340">
        <f t="shared" si="116"/>
        <v>1.5705041740096817</v>
      </c>
      <c r="K280" s="348">
        <f t="shared" si="132"/>
        <v>3.3786632121227513</v>
      </c>
      <c r="L280" s="349">
        <f t="shared" si="133"/>
        <v>1.2703201877904629</v>
      </c>
      <c r="M280" s="337">
        <f t="shared" si="117"/>
        <v>1.0009549963427422</v>
      </c>
      <c r="N280" s="340">
        <f t="shared" si="118"/>
        <v>4.368608351808604E-2</v>
      </c>
      <c r="O280" s="341">
        <f t="shared" si="119"/>
        <v>0.99991806630080815</v>
      </c>
      <c r="P280" s="342">
        <f t="shared" si="120"/>
        <v>2.2157219912210972E-2</v>
      </c>
      <c r="Q280" s="343">
        <f t="shared" si="121"/>
        <v>10.806535050964015</v>
      </c>
      <c r="R280" s="344">
        <f t="shared" si="122"/>
        <v>-107.81374682643356</v>
      </c>
      <c r="S280" s="346">
        <f t="shared" si="123"/>
        <v>72.186253173566442</v>
      </c>
      <c r="U280" s="319">
        <f t="shared" si="129"/>
        <v>1000000000</v>
      </c>
      <c r="V280" s="319">
        <f t="shared" si="130"/>
        <v>327374742.25</v>
      </c>
      <c r="X280" s="345">
        <f t="shared" si="124"/>
        <v>37.586031924254932</v>
      </c>
      <c r="Y280" s="346">
        <f t="shared" si="125"/>
        <v>-19.702303719330029</v>
      </c>
      <c r="AA280" s="345">
        <f t="shared" si="126"/>
        <v>30.018550139625837</v>
      </c>
      <c r="AB280" s="346">
        <f t="shared" si="127"/>
        <v>-88.11144310710354</v>
      </c>
      <c r="AD280">
        <f t="shared" si="131"/>
        <v>0</v>
      </c>
      <c r="AE280">
        <f t="shared" si="108"/>
        <v>0</v>
      </c>
    </row>
    <row r="281" spans="1:31" x14ac:dyDescent="0.2">
      <c r="A281" s="347">
        <v>18197</v>
      </c>
      <c r="B281" s="364">
        <f t="shared" si="128"/>
        <v>18.196999999999999</v>
      </c>
      <c r="C281" s="337">
        <f t="shared" si="109"/>
        <v>36.128000729972108</v>
      </c>
      <c r="D281" s="338">
        <f t="shared" si="110"/>
        <v>1.543113429457281</v>
      </c>
      <c r="E281" s="338">
        <f t="shared" si="111"/>
        <v>1.0003764177403318</v>
      </c>
      <c r="F281" s="339">
        <f t="shared" si="112"/>
        <v>2.7433545267925824E-2</v>
      </c>
      <c r="G281" s="338">
        <f t="shared" si="113"/>
        <v>1</v>
      </c>
      <c r="H281" s="339">
        <f t="shared" si="114"/>
        <v>0</v>
      </c>
      <c r="I281" s="337">
        <f t="shared" si="115"/>
        <v>3442.4463876698778</v>
      </c>
      <c r="J281" s="340">
        <f t="shared" si="116"/>
        <v>1.5705058357018049</v>
      </c>
      <c r="K281" s="348">
        <f t="shared" si="132"/>
        <v>3.3963014662341684</v>
      </c>
      <c r="L281" s="349">
        <f t="shared" si="133"/>
        <v>1.271928995229854</v>
      </c>
      <c r="M281" s="337">
        <f t="shared" si="117"/>
        <v>1.0009659480099502</v>
      </c>
      <c r="N281" s="340">
        <f t="shared" si="118"/>
        <v>4.3935659868173306E-2</v>
      </c>
      <c r="O281" s="341">
        <f t="shared" si="119"/>
        <v>0.99991712683433809</v>
      </c>
      <c r="P281" s="342">
        <f t="shared" si="120"/>
        <v>2.2284007417849475E-2</v>
      </c>
      <c r="Q281" s="343">
        <f t="shared" si="121"/>
        <v>10.752661600232933</v>
      </c>
      <c r="R281" s="344">
        <f t="shared" si="122"/>
        <v>-107.74336085568545</v>
      </c>
      <c r="S281" s="346">
        <f t="shared" si="123"/>
        <v>72.256639144314548</v>
      </c>
      <c r="U281" s="319">
        <f t="shared" si="129"/>
        <v>1000000000</v>
      </c>
      <c r="V281" s="319">
        <f t="shared" si="130"/>
        <v>331130809</v>
      </c>
      <c r="X281" s="345">
        <f t="shared" si="124"/>
        <v>37.58161927811755</v>
      </c>
      <c r="Y281" s="346">
        <f t="shared" si="125"/>
        <v>-19.624520722386571</v>
      </c>
      <c r="AA281" s="345">
        <f t="shared" si="126"/>
        <v>29.969089335032141</v>
      </c>
      <c r="AB281" s="346">
        <f t="shared" si="127"/>
        <v>-88.118840133298889</v>
      </c>
      <c r="AD281">
        <f t="shared" si="131"/>
        <v>0</v>
      </c>
      <c r="AE281">
        <f t="shared" si="108"/>
        <v>0</v>
      </c>
    </row>
    <row r="282" spans="1:31" x14ac:dyDescent="0.2">
      <c r="A282" s="347">
        <v>18303</v>
      </c>
      <c r="B282" s="364">
        <f t="shared" si="128"/>
        <v>18.303000000000001</v>
      </c>
      <c r="C282" s="337">
        <f t="shared" si="109"/>
        <v>36.338290478534205</v>
      </c>
      <c r="D282" s="338">
        <f t="shared" si="110"/>
        <v>1.5432736710117592</v>
      </c>
      <c r="E282" s="338">
        <f t="shared" si="111"/>
        <v>1.0003808150449642</v>
      </c>
      <c r="F282" s="339">
        <f t="shared" si="112"/>
        <v>2.7593268532049679E-2</v>
      </c>
      <c r="G282" s="338">
        <f t="shared" si="113"/>
        <v>1</v>
      </c>
      <c r="H282" s="339">
        <f t="shared" si="114"/>
        <v>0</v>
      </c>
      <c r="I282" s="337">
        <f t="shared" si="115"/>
        <v>3462.499104402862</v>
      </c>
      <c r="J282" s="340">
        <f t="shared" si="116"/>
        <v>1.5705075180519195</v>
      </c>
      <c r="K282" s="348">
        <f t="shared" si="132"/>
        <v>3.4143747814184455</v>
      </c>
      <c r="L282" s="349">
        <f t="shared" si="133"/>
        <v>1.2735594295158812</v>
      </c>
      <c r="M282" s="337">
        <f t="shared" si="117"/>
        <v>1.0009772288344636</v>
      </c>
      <c r="N282" s="340">
        <f t="shared" si="118"/>
        <v>4.4191258955460597E-2</v>
      </c>
      <c r="O282" s="341">
        <f t="shared" si="119"/>
        <v>0.9999161591348612</v>
      </c>
      <c r="P282" s="342">
        <f t="shared" si="120"/>
        <v>2.2413858166168945E-2</v>
      </c>
      <c r="Q282" s="343">
        <f t="shared" si="121"/>
        <v>10.697848493873279</v>
      </c>
      <c r="R282" s="344">
        <f t="shared" si="122"/>
        <v>-107.6721545884467</v>
      </c>
      <c r="S282" s="346">
        <f t="shared" si="123"/>
        <v>72.327845411553298</v>
      </c>
      <c r="U282" s="319">
        <f t="shared" si="129"/>
        <v>1000000000</v>
      </c>
      <c r="V282" s="319">
        <f t="shared" si="130"/>
        <v>334999809</v>
      </c>
      <c r="X282" s="345">
        <f t="shared" si="124"/>
        <v>37.577170849860991</v>
      </c>
      <c r="Y282" s="346">
        <f t="shared" si="125"/>
        <v>-19.54584485944407</v>
      </c>
      <c r="AA282" s="345">
        <f t="shared" si="126"/>
        <v>29.918724656929044</v>
      </c>
      <c r="AB282" s="346">
        <f t="shared" si="127"/>
        <v>-88.126309729002614</v>
      </c>
      <c r="AD282">
        <f t="shared" si="131"/>
        <v>0</v>
      </c>
      <c r="AE282">
        <f t="shared" ref="AE282:AE345" si="134">IF(AD282&gt;0,S282,0)</f>
        <v>0</v>
      </c>
    </row>
    <row r="283" spans="1:31" x14ac:dyDescent="0.2">
      <c r="A283" s="347">
        <v>18409</v>
      </c>
      <c r="B283" s="364">
        <f t="shared" si="128"/>
        <v>18.408999999999999</v>
      </c>
      <c r="C283" s="337">
        <f t="shared" si="109"/>
        <v>36.548581149430262</v>
      </c>
      <c r="D283" s="338">
        <f t="shared" si="110"/>
        <v>1.5434320685969598</v>
      </c>
      <c r="E283" s="338">
        <f t="shared" si="111"/>
        <v>1.0003852378706082</v>
      </c>
      <c r="F283" s="339">
        <f t="shared" si="112"/>
        <v>2.7752990387936039E-2</v>
      </c>
      <c r="G283" s="338">
        <f t="shared" si="113"/>
        <v>1</v>
      </c>
      <c r="H283" s="339">
        <f t="shared" si="114"/>
        <v>0</v>
      </c>
      <c r="I283" s="337">
        <f t="shared" si="115"/>
        <v>3482.5518211455337</v>
      </c>
      <c r="J283" s="340">
        <f t="shared" si="116"/>
        <v>1.5705091810279133</v>
      </c>
      <c r="K283" s="348">
        <f t="shared" si="132"/>
        <v>3.4324570774927485</v>
      </c>
      <c r="L283" s="349">
        <f t="shared" si="133"/>
        <v>1.2751726896906781</v>
      </c>
      <c r="M283" s="337">
        <f t="shared" si="117"/>
        <v>1.0009885750522374</v>
      </c>
      <c r="N283" s="340">
        <f t="shared" si="118"/>
        <v>4.4446852265008135E-2</v>
      </c>
      <c r="O283" s="341">
        <f t="shared" si="119"/>
        <v>0.99991518582892991</v>
      </c>
      <c r="P283" s="342">
        <f t="shared" si="120"/>
        <v>2.254370967023557E-2</v>
      </c>
      <c r="Q283" s="343">
        <f t="shared" si="121"/>
        <v>10.64339644704156</v>
      </c>
      <c r="R283" s="344">
        <f t="shared" si="122"/>
        <v>-107.60182535653388</v>
      </c>
      <c r="S283" s="346">
        <f t="shared" si="123"/>
        <v>72.39817464346612</v>
      </c>
      <c r="U283" s="319">
        <f t="shared" si="129"/>
        <v>1000000000</v>
      </c>
      <c r="V283" s="319">
        <f t="shared" si="130"/>
        <v>338891281</v>
      </c>
      <c r="X283" s="345">
        <f t="shared" si="124"/>
        <v>37.572792540194854</v>
      </c>
      <c r="Y283" s="346">
        <f t="shared" si="125"/>
        <v>-19.468151559497628</v>
      </c>
      <c r="AA283" s="345">
        <f t="shared" si="126"/>
        <v>29.868650919763468</v>
      </c>
      <c r="AB283" s="346">
        <f t="shared" si="127"/>
        <v>-88.133673797036238</v>
      </c>
      <c r="AD283">
        <f t="shared" si="131"/>
        <v>0</v>
      </c>
      <c r="AE283">
        <f t="shared" si="134"/>
        <v>0</v>
      </c>
    </row>
    <row r="284" spans="1:31" x14ac:dyDescent="0.2">
      <c r="A284" s="347">
        <v>18515</v>
      </c>
      <c r="B284" s="364">
        <f t="shared" si="128"/>
        <v>18.515000000000001</v>
      </c>
      <c r="C284" s="337">
        <f t="shared" si="109"/>
        <v>36.758872726830781</v>
      </c>
      <c r="D284" s="338">
        <f t="shared" si="110"/>
        <v>1.543588653852018</v>
      </c>
      <c r="E284" s="338">
        <f t="shared" si="111"/>
        <v>1.0003896862169253</v>
      </c>
      <c r="F284" s="339">
        <f t="shared" si="112"/>
        <v>2.7912710827454272E-2</v>
      </c>
      <c r="G284" s="338">
        <f t="shared" si="113"/>
        <v>1</v>
      </c>
      <c r="H284" s="339">
        <f t="shared" si="114"/>
        <v>0</v>
      </c>
      <c r="I284" s="337">
        <f t="shared" si="115"/>
        <v>3502.6045378977255</v>
      </c>
      <c r="J284" s="340">
        <f t="shared" si="116"/>
        <v>1.5705108249625415</v>
      </c>
      <c r="K284" s="348">
        <f t="shared" si="132"/>
        <v>3.4505482132663752</v>
      </c>
      <c r="L284" s="349">
        <f t="shared" si="133"/>
        <v>1.2767690374204919</v>
      </c>
      <c r="M284" s="337">
        <f t="shared" si="117"/>
        <v>1.0009999866610477</v>
      </c>
      <c r="N284" s="340">
        <f t="shared" si="118"/>
        <v>4.47024397636182E-2</v>
      </c>
      <c r="O284" s="341">
        <f t="shared" si="119"/>
        <v>0.99991420691679034</v>
      </c>
      <c r="P284" s="342">
        <f t="shared" si="120"/>
        <v>2.2673561934425206E-2</v>
      </c>
      <c r="Q284" s="343">
        <f t="shared" si="121"/>
        <v>10.589300627568631</v>
      </c>
      <c r="R284" s="344">
        <f t="shared" si="122"/>
        <v>-107.53235999824426</v>
      </c>
      <c r="S284" s="346">
        <f t="shared" si="123"/>
        <v>72.46764000175574</v>
      </c>
      <c r="U284" s="319">
        <f t="shared" si="129"/>
        <v>1000000000</v>
      </c>
      <c r="V284" s="319">
        <f t="shared" si="130"/>
        <v>342805225</v>
      </c>
      <c r="X284" s="345">
        <f t="shared" si="124"/>
        <v>37.568482847271355</v>
      </c>
      <c r="Y284" s="346">
        <f t="shared" si="125"/>
        <v>-19.39142584733899</v>
      </c>
      <c r="AA284" s="345">
        <f t="shared" si="126"/>
        <v>29.81886479321404</v>
      </c>
      <c r="AB284" s="346">
        <f t="shared" si="127"/>
        <v>-88.140934150905267</v>
      </c>
      <c r="AD284">
        <f t="shared" si="131"/>
        <v>0</v>
      </c>
      <c r="AE284">
        <f t="shared" si="134"/>
        <v>0</v>
      </c>
    </row>
    <row r="285" spans="1:31" x14ac:dyDescent="0.2">
      <c r="A285" s="347">
        <v>18621</v>
      </c>
      <c r="B285" s="364">
        <f t="shared" si="128"/>
        <v>18.620999999999999</v>
      </c>
      <c r="C285" s="337">
        <f t="shared" si="109"/>
        <v>36.96916519526637</v>
      </c>
      <c r="D285" s="338">
        <f t="shared" si="110"/>
        <v>1.5437434576965336</v>
      </c>
      <c r="E285" s="338">
        <f t="shared" si="111"/>
        <v>1.0003941600835748</v>
      </c>
      <c r="F285" s="339">
        <f t="shared" si="112"/>
        <v>2.8072429842474194E-2</v>
      </c>
      <c r="G285" s="338">
        <f t="shared" si="113"/>
        <v>1</v>
      </c>
      <c r="H285" s="339">
        <f t="shared" si="114"/>
        <v>0</v>
      </c>
      <c r="I285" s="337">
        <f t="shared" si="115"/>
        <v>3522.6572546592761</v>
      </c>
      <c r="J285" s="340">
        <f t="shared" si="116"/>
        <v>1.5705124501809831</v>
      </c>
      <c r="K285" s="348">
        <f t="shared" si="132"/>
        <v>3.4686480504258999</v>
      </c>
      <c r="L285" s="349">
        <f t="shared" si="133"/>
        <v>1.2783487292587443</v>
      </c>
      <c r="M285" s="337">
        <f t="shared" si="117"/>
        <v>1.001011463658658</v>
      </c>
      <c r="N285" s="340">
        <f t="shared" si="118"/>
        <v>4.4958021418097592E-2</v>
      </c>
      <c r="O285" s="341">
        <f t="shared" si="119"/>
        <v>0.99991322239868985</v>
      </c>
      <c r="P285" s="342">
        <f t="shared" si="120"/>
        <v>2.280341496311368E-2</v>
      </c>
      <c r="Q285" s="343">
        <f t="shared" si="121"/>
        <v>10.535556299283467</v>
      </c>
      <c r="R285" s="344">
        <f t="shared" si="122"/>
        <v>-107.46374560315823</v>
      </c>
      <c r="S285" s="346">
        <f t="shared" si="123"/>
        <v>72.53625439684177</v>
      </c>
      <c r="U285" s="319">
        <f t="shared" si="129"/>
        <v>1000000000</v>
      </c>
      <c r="V285" s="319">
        <f t="shared" si="130"/>
        <v>346741641</v>
      </c>
      <c r="X285" s="345">
        <f t="shared" si="124"/>
        <v>37.56424030837411</v>
      </c>
      <c r="Y285" s="346">
        <f t="shared" si="125"/>
        <v>-19.31565304026941</v>
      </c>
      <c r="AA285" s="345">
        <f t="shared" si="126"/>
        <v>29.769363003826115</v>
      </c>
      <c r="AB285" s="346">
        <f t="shared" si="127"/>
        <v>-88.148092562888806</v>
      </c>
      <c r="AD285">
        <f t="shared" si="131"/>
        <v>0</v>
      </c>
      <c r="AE285">
        <f t="shared" si="134"/>
        <v>0</v>
      </c>
    </row>
    <row r="286" spans="1:31" x14ac:dyDescent="0.2">
      <c r="A286" s="347">
        <v>18729.5</v>
      </c>
      <c r="B286" s="364">
        <f t="shared" si="128"/>
        <v>18.729500000000002</v>
      </c>
      <c r="C286" s="337">
        <f t="shared" si="109"/>
        <v>37.184418298756881</v>
      </c>
      <c r="D286" s="338">
        <f t="shared" si="110"/>
        <v>1.5439000991872944</v>
      </c>
      <c r="E286" s="338">
        <f t="shared" si="111"/>
        <v>1.0003987658958622</v>
      </c>
      <c r="F286" s="339">
        <f t="shared" si="112"/>
        <v>2.8235914331620243E-2</v>
      </c>
      <c r="G286" s="338">
        <f t="shared" si="113"/>
        <v>1</v>
      </c>
      <c r="H286" s="339">
        <f t="shared" si="114"/>
        <v>0</v>
      </c>
      <c r="I286" s="337">
        <f t="shared" si="115"/>
        <v>3543.1829128634076</v>
      </c>
      <c r="J286" s="340">
        <f t="shared" si="116"/>
        <v>1.5705140946782183</v>
      </c>
      <c r="K286" s="348">
        <f t="shared" si="132"/>
        <v>3.4871836407500529</v>
      </c>
      <c r="L286" s="349">
        <f t="shared" si="133"/>
        <v>1.2799486907622677</v>
      </c>
      <c r="M286" s="337">
        <f t="shared" si="117"/>
        <v>1.001023279058096</v>
      </c>
      <c r="N286" s="340">
        <f t="shared" si="118"/>
        <v>4.5219624854638298E-2</v>
      </c>
      <c r="O286" s="341">
        <f t="shared" si="119"/>
        <v>0.99991220885523868</v>
      </c>
      <c r="P286" s="342">
        <f t="shared" si="120"/>
        <v>2.2936331359558356E-2</v>
      </c>
      <c r="Q286" s="343">
        <f t="shared" si="121"/>
        <v>10.480903594428874</v>
      </c>
      <c r="R286" s="344">
        <f t="shared" si="122"/>
        <v>-107.39438103073226</v>
      </c>
      <c r="S286" s="346">
        <f t="shared" si="123"/>
        <v>72.605618969267738</v>
      </c>
      <c r="U286" s="319">
        <f t="shared" si="129"/>
        <v>1000000000</v>
      </c>
      <c r="V286" s="319">
        <f t="shared" si="130"/>
        <v>350794170.25</v>
      </c>
      <c r="X286" s="345">
        <f t="shared" si="124"/>
        <v>37.559965771073166</v>
      </c>
      <c r="Y286" s="346">
        <f t="shared" si="125"/>
        <v>-19.239064994217507</v>
      </c>
      <c r="AA286" s="345">
        <f t="shared" si="126"/>
        <v>29.718984836272469</v>
      </c>
      <c r="AB286" s="346">
        <f t="shared" si="127"/>
        <v>-88.155316036514733</v>
      </c>
      <c r="AD286">
        <f t="shared" si="131"/>
        <v>0</v>
      </c>
      <c r="AE286">
        <f t="shared" si="134"/>
        <v>0</v>
      </c>
    </row>
    <row r="287" spans="1:31" x14ac:dyDescent="0.2">
      <c r="A287" s="347">
        <v>18838</v>
      </c>
      <c r="B287" s="364">
        <f t="shared" si="128"/>
        <v>18.838000000000001</v>
      </c>
      <c r="C287" s="337">
        <f t="shared" si="109"/>
        <v>37.399672304122625</v>
      </c>
      <c r="D287" s="338">
        <f t="shared" si="110"/>
        <v>1.5440549375800143</v>
      </c>
      <c r="E287" s="338">
        <f t="shared" si="111"/>
        <v>1.000403398445739</v>
      </c>
      <c r="F287" s="339">
        <f t="shared" si="112"/>
        <v>2.8399397311046373E-2</v>
      </c>
      <c r="G287" s="338">
        <f t="shared" si="113"/>
        <v>1</v>
      </c>
      <c r="H287" s="339">
        <f t="shared" si="114"/>
        <v>0</v>
      </c>
      <c r="I287" s="337">
        <f t="shared" si="115"/>
        <v>3563.7085710770111</v>
      </c>
      <c r="J287" s="340">
        <f t="shared" si="116"/>
        <v>1.5705157202320481</v>
      </c>
      <c r="K287" s="348">
        <f t="shared" si="132"/>
        <v>3.5057280634258303</v>
      </c>
      <c r="L287" s="349">
        <f t="shared" si="133"/>
        <v>1.2815317294919479</v>
      </c>
      <c r="M287" s="337">
        <f t="shared" si="117"/>
        <v>1.0010351629623016</v>
      </c>
      <c r="N287" s="340">
        <f t="shared" si="118"/>
        <v>4.5481222097770758E-2</v>
      </c>
      <c r="O287" s="341">
        <f t="shared" si="119"/>
        <v>0.9999111894388053</v>
      </c>
      <c r="P287" s="342">
        <f t="shared" si="120"/>
        <v>2.3069248566265813E-2</v>
      </c>
      <c r="Q287" s="343">
        <f t="shared" si="121"/>
        <v>10.42660941206163</v>
      </c>
      <c r="R287" s="344">
        <f t="shared" si="122"/>
        <v>-107.3258814446102</v>
      </c>
      <c r="S287" s="346">
        <f t="shared" si="123"/>
        <v>72.674118555389796</v>
      </c>
      <c r="U287" s="319">
        <f t="shared" si="129"/>
        <v>1000000000</v>
      </c>
      <c r="V287" s="319">
        <f t="shared" si="130"/>
        <v>354870244</v>
      </c>
      <c r="X287" s="345">
        <f t="shared" si="124"/>
        <v>37.555758612059549</v>
      </c>
      <c r="Y287" s="346">
        <f t="shared" si="125"/>
        <v>-19.16344511145223</v>
      </c>
      <c r="AA287" s="345">
        <f t="shared" si="126"/>
        <v>29.668897812918843</v>
      </c>
      <c r="AB287" s="346">
        <f t="shared" si="127"/>
        <v>-88.16243633315797</v>
      </c>
      <c r="AD287">
        <f t="shared" si="131"/>
        <v>0</v>
      </c>
      <c r="AE287">
        <f t="shared" si="134"/>
        <v>0</v>
      </c>
    </row>
    <row r="288" spans="1:31" x14ac:dyDescent="0.2">
      <c r="A288" s="347">
        <v>18946.5</v>
      </c>
      <c r="B288" s="364">
        <f t="shared" si="128"/>
        <v>18.9465</v>
      </c>
      <c r="C288" s="337">
        <f t="shared" si="109"/>
        <v>37.614927195880469</v>
      </c>
      <c r="D288" s="338">
        <f t="shared" si="110"/>
        <v>1.5442080038223895</v>
      </c>
      <c r="E288" s="338">
        <f t="shared" si="111"/>
        <v>1.000408057732834</v>
      </c>
      <c r="F288" s="339">
        <f t="shared" si="112"/>
        <v>2.8562878772034908E-2</v>
      </c>
      <c r="G288" s="338">
        <f t="shared" si="113"/>
        <v>1</v>
      </c>
      <c r="H288" s="339">
        <f t="shared" si="114"/>
        <v>0</v>
      </c>
      <c r="I288" s="337">
        <f t="shared" si="115"/>
        <v>3584.2342292999228</v>
      </c>
      <c r="J288" s="340">
        <f t="shared" si="116"/>
        <v>1.5705173271679194</v>
      </c>
      <c r="K288" s="348">
        <f t="shared" si="132"/>
        <v>3.5242811790283253</v>
      </c>
      <c r="L288" s="349">
        <f t="shared" si="133"/>
        <v>1.2830981047134764</v>
      </c>
      <c r="M288" s="337">
        <f t="shared" si="117"/>
        <v>1.0010471153688349</v>
      </c>
      <c r="N288" s="340">
        <f t="shared" si="118"/>
        <v>4.5742813111912375E-2</v>
      </c>
      <c r="O288" s="341">
        <f t="shared" si="119"/>
        <v>0.99991016414965983</v>
      </c>
      <c r="P288" s="342">
        <f t="shared" si="120"/>
        <v>2.3202166587928785E-2</v>
      </c>
      <c r="Q288" s="343">
        <f t="shared" si="121"/>
        <v>10.37266896943459</v>
      </c>
      <c r="R288" s="344">
        <f t="shared" si="122"/>
        <v>-107.25823378051095</v>
      </c>
      <c r="S288" s="346">
        <f t="shared" si="123"/>
        <v>72.741766219489051</v>
      </c>
      <c r="U288" s="319">
        <f t="shared" si="129"/>
        <v>1000000000</v>
      </c>
      <c r="V288" s="319">
        <f t="shared" si="130"/>
        <v>358969862.25</v>
      </c>
      <c r="X288" s="345">
        <f t="shared" si="124"/>
        <v>37.551617382340524</v>
      </c>
      <c r="Y288" s="346">
        <f t="shared" si="125"/>
        <v>-19.088778553751698</v>
      </c>
      <c r="AA288" s="345">
        <f t="shared" si="126"/>
        <v>29.619098600010823</v>
      </c>
      <c r="AB288" s="346">
        <f t="shared" si="127"/>
        <v>-88.169455226759254</v>
      </c>
      <c r="AD288">
        <f t="shared" si="131"/>
        <v>0</v>
      </c>
      <c r="AE288">
        <f t="shared" si="134"/>
        <v>0</v>
      </c>
    </row>
    <row r="289" spans="1:31" x14ac:dyDescent="0.2">
      <c r="A289" s="347">
        <v>19055</v>
      </c>
      <c r="B289" s="364">
        <f t="shared" si="128"/>
        <v>19.055</v>
      </c>
      <c r="C289" s="337">
        <f t="shared" si="109"/>
        <v>37.830182958899613</v>
      </c>
      <c r="D289" s="338">
        <f t="shared" si="110"/>
        <v>1.5443593281580756</v>
      </c>
      <c r="E289" s="338">
        <f t="shared" si="111"/>
        <v>1.0004127437567734</v>
      </c>
      <c r="F289" s="339">
        <f t="shared" si="112"/>
        <v>2.8726358705868652E-2</v>
      </c>
      <c r="G289" s="338">
        <f t="shared" si="113"/>
        <v>1</v>
      </c>
      <c r="H289" s="339">
        <f t="shared" si="114"/>
        <v>0</v>
      </c>
      <c r="I289" s="337">
        <f t="shared" si="115"/>
        <v>3604.759887531985</v>
      </c>
      <c r="J289" s="340">
        <f t="shared" si="116"/>
        <v>1.5705189158038664</v>
      </c>
      <c r="K289" s="348">
        <f t="shared" si="132"/>
        <v>3.5428428509885079</v>
      </c>
      <c r="L289" s="349">
        <f t="shared" si="133"/>
        <v>1.2846480705900702</v>
      </c>
      <c r="M289" s="337">
        <f t="shared" si="117"/>
        <v>1.0010591362752423</v>
      </c>
      <c r="N289" s="340">
        <f t="shared" si="118"/>
        <v>4.6004397861485635E-2</v>
      </c>
      <c r="O289" s="341">
        <f t="shared" si="119"/>
        <v>0.99990913298807371</v>
      </c>
      <c r="P289" s="342">
        <f t="shared" si="120"/>
        <v>2.3335085429240007E-2</v>
      </c>
      <c r="Q289" s="343">
        <f t="shared" si="121"/>
        <v>10.3190775786502</v>
      </c>
      <c r="R289" s="344">
        <f t="shared" si="122"/>
        <v>-107.19142522574057</v>
      </c>
      <c r="S289" s="346">
        <f t="shared" si="123"/>
        <v>72.808574774259426</v>
      </c>
      <c r="U289" s="319">
        <f t="shared" si="129"/>
        <v>1000000000</v>
      </c>
      <c r="V289" s="319">
        <f t="shared" si="130"/>
        <v>363093025</v>
      </c>
      <c r="X289" s="345">
        <f t="shared" si="124"/>
        <v>37.547540670824453</v>
      </c>
      <c r="Y289" s="346">
        <f t="shared" si="125"/>
        <v>-19.015050774819809</v>
      </c>
      <c r="AA289" s="345">
        <f t="shared" si="126"/>
        <v>29.569583920742502</v>
      </c>
      <c r="AB289" s="346">
        <f t="shared" si="127"/>
        <v>-88.176374450920761</v>
      </c>
      <c r="AD289">
        <f t="shared" si="131"/>
        <v>0</v>
      </c>
      <c r="AE289">
        <f t="shared" si="134"/>
        <v>0</v>
      </c>
    </row>
    <row r="290" spans="1:31" x14ac:dyDescent="0.2">
      <c r="A290" s="347">
        <v>19165.75</v>
      </c>
      <c r="B290" s="364">
        <f t="shared" si="128"/>
        <v>19.165749999999999</v>
      </c>
      <c r="C290" s="337">
        <f t="shared" si="109"/>
        <v>38.049903434300653</v>
      </c>
      <c r="D290" s="338">
        <f t="shared" si="110"/>
        <v>1.5445120247835404</v>
      </c>
      <c r="E290" s="338">
        <f t="shared" si="111"/>
        <v>1.0004175545302034</v>
      </c>
      <c r="F290" s="339">
        <f t="shared" si="112"/>
        <v>2.8893227192540456E-2</v>
      </c>
      <c r="G290" s="338">
        <f t="shared" si="113"/>
        <v>1</v>
      </c>
      <c r="H290" s="339">
        <f t="shared" si="114"/>
        <v>0</v>
      </c>
      <c r="I290" s="337">
        <f t="shared" si="115"/>
        <v>3625.7111930638494</v>
      </c>
      <c r="J290" s="340">
        <f t="shared" si="116"/>
        <v>1.5705205188335258</v>
      </c>
      <c r="K290" s="348">
        <f t="shared" si="132"/>
        <v>3.561798127851207</v>
      </c>
      <c r="L290" s="349">
        <f t="shared" si="133"/>
        <v>1.2862135140498818</v>
      </c>
      <c r="M290" s="337">
        <f t="shared" si="117"/>
        <v>1.0010714771059159</v>
      </c>
      <c r="N290" s="340">
        <f t="shared" si="118"/>
        <v>4.6271400681877378E-2</v>
      </c>
      <c r="O290" s="341">
        <f t="shared" si="119"/>
        <v>0.99990807438686458</v>
      </c>
      <c r="P290" s="342">
        <f t="shared" si="120"/>
        <v>2.3470761502246671E-2</v>
      </c>
      <c r="Q290" s="343">
        <f t="shared" si="121"/>
        <v>10.26473005844478</v>
      </c>
      <c r="R290" s="344">
        <f t="shared" si="122"/>
        <v>-107.1240835824397</v>
      </c>
      <c r="S290" s="346">
        <f t="shared" si="123"/>
        <v>72.875916417560305</v>
      </c>
      <c r="U290" s="319">
        <f t="shared" si="129"/>
        <v>1000000000</v>
      </c>
      <c r="V290" s="319">
        <f t="shared" si="130"/>
        <v>367325973.0625</v>
      </c>
      <c r="X290" s="345">
        <f t="shared" si="124"/>
        <v>37.54344453117659</v>
      </c>
      <c r="Y290" s="346">
        <f t="shared" si="125"/>
        <v>-18.940747452981803</v>
      </c>
      <c r="AA290" s="345">
        <f t="shared" si="126"/>
        <v>29.519332540184951</v>
      </c>
      <c r="AB290" s="346">
        <f t="shared" si="127"/>
        <v>-88.183336129457899</v>
      </c>
      <c r="AD290">
        <f t="shared" si="131"/>
        <v>0</v>
      </c>
      <c r="AE290">
        <f t="shared" si="134"/>
        <v>0</v>
      </c>
    </row>
    <row r="291" spans="1:31" x14ac:dyDescent="0.2">
      <c r="A291" s="347">
        <v>19276.5</v>
      </c>
      <c r="B291" s="364">
        <f t="shared" si="128"/>
        <v>19.276499999999999</v>
      </c>
      <c r="C291" s="337">
        <f t="shared" si="109"/>
        <v>38.269624786695793</v>
      </c>
      <c r="D291" s="338">
        <f t="shared" si="110"/>
        <v>1.5446629680266537</v>
      </c>
      <c r="E291" s="338">
        <f t="shared" si="111"/>
        <v>1.0004223931600842</v>
      </c>
      <c r="F291" s="339">
        <f t="shared" si="112"/>
        <v>2.9060094069710753E-2</v>
      </c>
      <c r="G291" s="338">
        <f t="shared" si="113"/>
        <v>1</v>
      </c>
      <c r="H291" s="339">
        <f t="shared" si="114"/>
        <v>0</v>
      </c>
      <c r="I291" s="337">
        <f t="shared" si="115"/>
        <v>3646.6624986049233</v>
      </c>
      <c r="J291" s="340">
        <f t="shared" si="116"/>
        <v>1.5705221034432935</v>
      </c>
      <c r="K291" s="348">
        <f t="shared" si="132"/>
        <v>3.5807620408790251</v>
      </c>
      <c r="L291" s="349">
        <f t="shared" si="133"/>
        <v>1.2877623799223361</v>
      </c>
      <c r="M291" s="337">
        <f t="shared" si="117"/>
        <v>1.0010838893017191</v>
      </c>
      <c r="N291" s="340">
        <f t="shared" si="118"/>
        <v>4.6538396900296881E-2</v>
      </c>
      <c r="O291" s="341">
        <f t="shared" si="119"/>
        <v>0.99990700966770896</v>
      </c>
      <c r="P291" s="342">
        <f t="shared" si="120"/>
        <v>2.3606438439128765E-2</v>
      </c>
      <c r="Q291" s="343">
        <f t="shared" si="121"/>
        <v>10.210736638569253</v>
      </c>
      <c r="R291" s="344">
        <f t="shared" si="122"/>
        <v>-107.0575900115881</v>
      </c>
      <c r="S291" s="346">
        <f t="shared" si="123"/>
        <v>72.942409988411896</v>
      </c>
      <c r="U291" s="319">
        <f t="shared" si="129"/>
        <v>1000000000</v>
      </c>
      <c r="V291" s="319">
        <f t="shared" si="130"/>
        <v>371583452.25</v>
      </c>
      <c r="X291" s="345">
        <f t="shared" si="124"/>
        <v>37.539412758129856</v>
      </c>
      <c r="Y291" s="346">
        <f t="shared" si="125"/>
        <v>-18.867392523287748</v>
      </c>
      <c r="AA291" s="345">
        <f t="shared" si="126"/>
        <v>29.469370893356157</v>
      </c>
      <c r="AB291" s="346">
        <f t="shared" si="127"/>
        <v>-88.190197488300356</v>
      </c>
      <c r="AD291">
        <f t="shared" si="131"/>
        <v>0</v>
      </c>
      <c r="AE291">
        <f t="shared" si="134"/>
        <v>0</v>
      </c>
    </row>
    <row r="292" spans="1:31" x14ac:dyDescent="0.2">
      <c r="A292" s="347">
        <v>19387.25</v>
      </c>
      <c r="B292" s="364">
        <f t="shared" si="128"/>
        <v>19.387250000000002</v>
      </c>
      <c r="C292" s="337">
        <f t="shared" si="109"/>
        <v>38.489347001065767</v>
      </c>
      <c r="D292" s="338">
        <f t="shared" si="110"/>
        <v>1.5448121879088166</v>
      </c>
      <c r="E292" s="338">
        <f t="shared" si="111"/>
        <v>1.0004272596460109</v>
      </c>
      <c r="F292" s="339">
        <f t="shared" si="112"/>
        <v>2.922695932811031E-2</v>
      </c>
      <c r="G292" s="338">
        <f t="shared" si="113"/>
        <v>1</v>
      </c>
      <c r="H292" s="339">
        <f t="shared" si="114"/>
        <v>0</v>
      </c>
      <c r="I292" s="337">
        <f t="shared" si="115"/>
        <v>3667.6138041550494</v>
      </c>
      <c r="J292" s="340">
        <f t="shared" si="116"/>
        <v>1.5705236699488412</v>
      </c>
      <c r="K292" s="348">
        <f t="shared" si="132"/>
        <v>3.5997344535823279</v>
      </c>
      <c r="L292" s="349">
        <f t="shared" si="133"/>
        <v>1.289294922833401</v>
      </c>
      <c r="M292" s="337">
        <f t="shared" si="117"/>
        <v>1.0010963728599975</v>
      </c>
      <c r="N292" s="340">
        <f t="shared" si="118"/>
        <v>4.6805386478923725E-2</v>
      </c>
      <c r="O292" s="341">
        <f t="shared" si="119"/>
        <v>0.99990593883090007</v>
      </c>
      <c r="P292" s="342">
        <f t="shared" si="120"/>
        <v>2.3742116244876994E-2</v>
      </c>
      <c r="Q292" s="343">
        <f t="shared" si="121"/>
        <v>10.157092623515148</v>
      </c>
      <c r="R292" s="344">
        <f t="shared" si="122"/>
        <v>-106.99193166102883</v>
      </c>
      <c r="S292" s="346">
        <f t="shared" si="123"/>
        <v>73.008068338971171</v>
      </c>
      <c r="U292" s="319">
        <f t="shared" si="129"/>
        <v>1000000000</v>
      </c>
      <c r="V292" s="319">
        <f t="shared" si="130"/>
        <v>375865462.5625</v>
      </c>
      <c r="X292" s="345">
        <f t="shared" si="124"/>
        <v>37.53544396573772</v>
      </c>
      <c r="Y292" s="346">
        <f t="shared" si="125"/>
        <v>-18.794971412664051</v>
      </c>
      <c r="AA292" s="345">
        <f t="shared" si="126"/>
        <v>29.419695670694189</v>
      </c>
      <c r="AB292" s="346">
        <f t="shared" si="127"/>
        <v>-88.196960248364775</v>
      </c>
      <c r="AD292">
        <f t="shared" si="131"/>
        <v>0</v>
      </c>
      <c r="AE292">
        <f t="shared" si="134"/>
        <v>0</v>
      </c>
    </row>
    <row r="293" spans="1:31" x14ac:dyDescent="0.2">
      <c r="A293" s="347">
        <v>19498</v>
      </c>
      <c r="B293" s="364">
        <f t="shared" si="128"/>
        <v>19.498000000000001</v>
      </c>
      <c r="C293" s="337">
        <f t="shared" si="109"/>
        <v>38.709070062732202</v>
      </c>
      <c r="D293" s="338">
        <f t="shared" si="110"/>
        <v>1.5449597137701032</v>
      </c>
      <c r="E293" s="338">
        <f t="shared" si="111"/>
        <v>1.0004321539875771</v>
      </c>
      <c r="F293" s="339">
        <f t="shared" si="112"/>
        <v>2.9393822958470407E-2</v>
      </c>
      <c r="G293" s="338">
        <f t="shared" si="113"/>
        <v>1</v>
      </c>
      <c r="H293" s="339">
        <f t="shared" si="114"/>
        <v>0</v>
      </c>
      <c r="I293" s="337">
        <f t="shared" si="115"/>
        <v>3688.5651097140731</v>
      </c>
      <c r="J293" s="340">
        <f t="shared" si="116"/>
        <v>1.5705252186586687</v>
      </c>
      <c r="K293" s="348">
        <f t="shared" si="132"/>
        <v>3.6187152322733249</v>
      </c>
      <c r="L293" s="349">
        <f t="shared" si="133"/>
        <v>1.2908113923771205</v>
      </c>
      <c r="M293" s="337">
        <f t="shared" si="117"/>
        <v>1.0011089277780816</v>
      </c>
      <c r="N293" s="340">
        <f t="shared" si="118"/>
        <v>4.7072369379943135E-2</v>
      </c>
      <c r="O293" s="341">
        <f t="shared" si="119"/>
        <v>0.99990486187673389</v>
      </c>
      <c r="P293" s="342">
        <f t="shared" si="120"/>
        <v>2.3877794924482037E-2</v>
      </c>
      <c r="Q293" s="343">
        <f t="shared" si="121"/>
        <v>10.103793410466055</v>
      </c>
      <c r="R293" s="344">
        <f t="shared" si="122"/>
        <v>-106.92709592746502</v>
      </c>
      <c r="S293" s="346">
        <f t="shared" si="123"/>
        <v>73.072904072534982</v>
      </c>
      <c r="U293" s="319">
        <f t="shared" si="129"/>
        <v>1000000000</v>
      </c>
      <c r="V293" s="319">
        <f t="shared" si="130"/>
        <v>380172004</v>
      </c>
      <c r="X293" s="345">
        <f t="shared" si="124"/>
        <v>37.531536804342394</v>
      </c>
      <c r="Y293" s="346">
        <f t="shared" si="125"/>
        <v>-18.723469835934463</v>
      </c>
      <c r="AA293" s="345">
        <f t="shared" si="126"/>
        <v>29.370303619040421</v>
      </c>
      <c r="AB293" s="346">
        <f t="shared" si="127"/>
        <v>-88.203626091530552</v>
      </c>
      <c r="AD293">
        <f t="shared" si="131"/>
        <v>0</v>
      </c>
      <c r="AE293">
        <f t="shared" si="134"/>
        <v>0</v>
      </c>
    </row>
    <row r="294" spans="1:31" x14ac:dyDescent="0.2">
      <c r="A294" s="347">
        <v>19611.75</v>
      </c>
      <c r="B294" s="364">
        <f t="shared" si="128"/>
        <v>19.611750000000001</v>
      </c>
      <c r="C294" s="337">
        <f t="shared" si="109"/>
        <v>38.934745857595836</v>
      </c>
      <c r="D294" s="338">
        <f t="shared" si="110"/>
        <v>1.5451095024620052</v>
      </c>
      <c r="E294" s="338">
        <f t="shared" si="111"/>
        <v>1.0004372099045062</v>
      </c>
      <c r="F294" s="339">
        <f t="shared" si="112"/>
        <v>2.9565204892353782E-2</v>
      </c>
      <c r="G294" s="338">
        <f t="shared" si="113"/>
        <v>1</v>
      </c>
      <c r="H294" s="339">
        <f t="shared" si="114"/>
        <v>0</v>
      </c>
      <c r="I294" s="337">
        <f t="shared" si="115"/>
        <v>3710.0839450038902</v>
      </c>
      <c r="J294" s="340">
        <f t="shared" si="116"/>
        <v>1.5705267911113563</v>
      </c>
      <c r="K294" s="348">
        <f t="shared" si="132"/>
        <v>3.6382187344304708</v>
      </c>
      <c r="L294" s="349">
        <f t="shared" si="133"/>
        <v>1.2923524647232612</v>
      </c>
      <c r="M294" s="337">
        <f t="shared" si="117"/>
        <v>1.0011218970669016</v>
      </c>
      <c r="N294" s="340">
        <f t="shared" si="118"/>
        <v>4.7346577332331323E-2</v>
      </c>
      <c r="O294" s="341">
        <f t="shared" si="119"/>
        <v>0.99990374938214388</v>
      </c>
      <c r="P294" s="342">
        <f t="shared" si="120"/>
        <v>2.4017149787986782E-2</v>
      </c>
      <c r="Q294" s="343">
        <f t="shared" si="121"/>
        <v>10.04940462561613</v>
      </c>
      <c r="R294" s="344">
        <f t="shared" si="122"/>
        <v>-106.86134728321687</v>
      </c>
      <c r="S294" s="346">
        <f t="shared" si="123"/>
        <v>73.138652716783128</v>
      </c>
      <c r="U294" s="319">
        <f t="shared" si="129"/>
        <v>1000000000</v>
      </c>
      <c r="V294" s="319">
        <f t="shared" si="130"/>
        <v>384620738.0625</v>
      </c>
      <c r="X294" s="345">
        <f t="shared" si="124"/>
        <v>37.527586582927078</v>
      </c>
      <c r="Y294" s="346">
        <f t="shared" si="125"/>
        <v>-18.650973947776702</v>
      </c>
      <c r="AA294" s="345">
        <f t="shared" si="126"/>
        <v>29.31986505560581</v>
      </c>
      <c r="AB294" s="346">
        <f t="shared" si="127"/>
        <v>-88.210373335440181</v>
      </c>
      <c r="AD294">
        <f t="shared" si="131"/>
        <v>0</v>
      </c>
      <c r="AE294">
        <f t="shared" si="134"/>
        <v>0</v>
      </c>
    </row>
    <row r="295" spans="1:31" x14ac:dyDescent="0.2">
      <c r="A295" s="347">
        <v>19725.5</v>
      </c>
      <c r="B295" s="364">
        <f t="shared" si="128"/>
        <v>19.7255</v>
      </c>
      <c r="C295" s="337">
        <f t="shared" si="109"/>
        <v>39.160422515956348</v>
      </c>
      <c r="D295" s="338">
        <f t="shared" si="110"/>
        <v>1.5452575647298874</v>
      </c>
      <c r="E295" s="338">
        <f t="shared" si="111"/>
        <v>1.000442295205747</v>
      </c>
      <c r="F295" s="339">
        <f t="shared" si="112"/>
        <v>2.9736585088983938E-2</v>
      </c>
      <c r="G295" s="338">
        <f t="shared" si="113"/>
        <v>1</v>
      </c>
      <c r="H295" s="339">
        <f t="shared" si="114"/>
        <v>0</v>
      </c>
      <c r="I295" s="337">
        <f t="shared" si="115"/>
        <v>3731.6027803027755</v>
      </c>
      <c r="J295" s="340">
        <f t="shared" si="116"/>
        <v>1.5705283454284855</v>
      </c>
      <c r="K295" s="348">
        <f t="shared" si="132"/>
        <v>3.6577307848521436</v>
      </c>
      <c r="L295" s="349">
        <f t="shared" si="133"/>
        <v>1.2938770990537238</v>
      </c>
      <c r="M295" s="337">
        <f t="shared" si="117"/>
        <v>1.0011349416281248</v>
      </c>
      <c r="N295" s="340">
        <f t="shared" si="118"/>
        <v>4.7620778159601362E-2</v>
      </c>
      <c r="O295" s="341">
        <f t="shared" si="119"/>
        <v>0.99990263043493077</v>
      </c>
      <c r="P295" s="342">
        <f t="shared" si="120"/>
        <v>2.4156505584003656E-2</v>
      </c>
      <c r="Q295" s="343">
        <f t="shared" si="121"/>
        <v>9.9953700232541358</v>
      </c>
      <c r="R295" s="344">
        <f t="shared" si="122"/>
        <v>-106.79644025671774</v>
      </c>
      <c r="S295" s="346">
        <f t="shared" si="123"/>
        <v>73.203559743282256</v>
      </c>
      <c r="U295" s="319">
        <f t="shared" si="129"/>
        <v>1000000000</v>
      </c>
      <c r="V295" s="319">
        <f t="shared" si="130"/>
        <v>389095350.25</v>
      </c>
      <c r="X295" s="345">
        <f t="shared" si="124"/>
        <v>37.523698603343895</v>
      </c>
      <c r="Y295" s="346">
        <f t="shared" si="125"/>
        <v>-18.579418441211768</v>
      </c>
      <c r="AA295" s="345">
        <f t="shared" si="126"/>
        <v>29.269718432827002</v>
      </c>
      <c r="AB295" s="346">
        <f t="shared" si="127"/>
        <v>-88.217021815505987</v>
      </c>
      <c r="AD295">
        <f t="shared" si="131"/>
        <v>0</v>
      </c>
      <c r="AE295">
        <f t="shared" si="134"/>
        <v>0</v>
      </c>
    </row>
    <row r="296" spans="1:31" x14ac:dyDescent="0.2">
      <c r="A296" s="347">
        <v>19839.25</v>
      </c>
      <c r="B296" s="364">
        <f t="shared" si="128"/>
        <v>19.83925</v>
      </c>
      <c r="C296" s="337">
        <f t="shared" si="109"/>
        <v>39.386100022970609</v>
      </c>
      <c r="D296" s="338">
        <f t="shared" si="110"/>
        <v>1.5454039302437934</v>
      </c>
      <c r="E296" s="338">
        <f t="shared" si="111"/>
        <v>1.0004474098908507</v>
      </c>
      <c r="F296" s="339">
        <f t="shared" si="112"/>
        <v>2.9907963538320169E-2</v>
      </c>
      <c r="G296" s="338">
        <f t="shared" si="113"/>
        <v>1</v>
      </c>
      <c r="H296" s="339">
        <f t="shared" si="114"/>
        <v>0</v>
      </c>
      <c r="I296" s="337">
        <f t="shared" si="115"/>
        <v>3753.121615610572</v>
      </c>
      <c r="J296" s="340">
        <f t="shared" si="116"/>
        <v>1.5705298819220013</v>
      </c>
      <c r="K296" s="348">
        <f t="shared" si="132"/>
        <v>3.6772512474631984</v>
      </c>
      <c r="L296" s="349">
        <f t="shared" si="133"/>
        <v>1.2953855500040612</v>
      </c>
      <c r="M296" s="337">
        <f t="shared" si="117"/>
        <v>1.0011480614588086</v>
      </c>
      <c r="N296" s="340">
        <f t="shared" si="118"/>
        <v>4.7894971820800415E-2</v>
      </c>
      <c r="O296" s="341">
        <f t="shared" si="119"/>
        <v>0.99990150503542008</v>
      </c>
      <c r="P296" s="342">
        <f t="shared" si="120"/>
        <v>2.4295862317939922E-2</v>
      </c>
      <c r="Q296" s="343">
        <f t="shared" si="121"/>
        <v>9.941684906059896</v>
      </c>
      <c r="R296" s="344">
        <f t="shared" si="122"/>
        <v>-106.73236197480526</v>
      </c>
      <c r="S296" s="346">
        <f t="shared" si="123"/>
        <v>73.267638025194742</v>
      </c>
      <c r="U296" s="319">
        <f t="shared" si="129"/>
        <v>1000000000</v>
      </c>
      <c r="V296" s="319">
        <f t="shared" si="130"/>
        <v>393595840.5625</v>
      </c>
      <c r="X296" s="345">
        <f t="shared" si="124"/>
        <v>37.519871515527889</v>
      </c>
      <c r="Y296" s="346">
        <f t="shared" si="125"/>
        <v>-18.508788742223878</v>
      </c>
      <c r="AA296" s="345">
        <f t="shared" si="126"/>
        <v>29.21986040344877</v>
      </c>
      <c r="AB296" s="346">
        <f t="shared" si="127"/>
        <v>-88.223573232581359</v>
      </c>
      <c r="AD296">
        <f t="shared" si="131"/>
        <v>0</v>
      </c>
      <c r="AE296">
        <f t="shared" si="134"/>
        <v>0</v>
      </c>
    </row>
    <row r="297" spans="1:31" x14ac:dyDescent="0.2">
      <c r="A297" s="347">
        <v>19953</v>
      </c>
      <c r="B297" s="364">
        <f t="shared" si="128"/>
        <v>19.952999999999999</v>
      </c>
      <c r="C297" s="337">
        <f t="shared" si="109"/>
        <v>39.611778364133684</v>
      </c>
      <c r="D297" s="338">
        <f t="shared" si="110"/>
        <v>1.54554862799791</v>
      </c>
      <c r="E297" s="338">
        <f t="shared" si="111"/>
        <v>1.0004525539593672</v>
      </c>
      <c r="F297" s="339">
        <f t="shared" si="112"/>
        <v>3.0079340230322379E-2</v>
      </c>
      <c r="G297" s="338">
        <f t="shared" si="113"/>
        <v>1</v>
      </c>
      <c r="H297" s="339">
        <f t="shared" si="114"/>
        <v>0</v>
      </c>
      <c r="I297" s="337">
        <f t="shared" si="115"/>
        <v>3774.6404509271288</v>
      </c>
      <c r="J297" s="340">
        <f t="shared" si="116"/>
        <v>1.5705314008967355</v>
      </c>
      <c r="K297" s="348">
        <f t="shared" si="132"/>
        <v>3.6967799890045607</v>
      </c>
      <c r="L297" s="349">
        <f t="shared" si="133"/>
        <v>1.2968780671273221</v>
      </c>
      <c r="M297" s="337">
        <f t="shared" si="117"/>
        <v>1.001161256555994</v>
      </c>
      <c r="N297" s="340">
        <f t="shared" si="118"/>
        <v>4.8169158274982068E-2</v>
      </c>
      <c r="O297" s="341">
        <f t="shared" si="119"/>
        <v>0.99990037318393987</v>
      </c>
      <c r="P297" s="342">
        <f t="shared" si="120"/>
        <v>2.4435219995202803E-2</v>
      </c>
      <c r="Q297" s="343">
        <f t="shared" si="121"/>
        <v>9.888344669572783</v>
      </c>
      <c r="R297" s="344">
        <f t="shared" si="122"/>
        <v>-106.66909981639201</v>
      </c>
      <c r="S297" s="346">
        <f t="shared" si="123"/>
        <v>73.330900183607994</v>
      </c>
      <c r="U297" s="319">
        <f t="shared" si="129"/>
        <v>1000000000</v>
      </c>
      <c r="V297" s="319">
        <f t="shared" si="130"/>
        <v>398122209</v>
      </c>
      <c r="X297" s="345">
        <f t="shared" si="124"/>
        <v>37.516104005011186</v>
      </c>
      <c r="Y297" s="346">
        <f t="shared" si="125"/>
        <v>-18.439070567596083</v>
      </c>
      <c r="AA297" s="345">
        <f t="shared" si="126"/>
        <v>29.170287677478353</v>
      </c>
      <c r="AB297" s="346">
        <f t="shared" si="127"/>
        <v>-88.230029248795901</v>
      </c>
      <c r="AD297">
        <f t="shared" si="131"/>
        <v>0</v>
      </c>
      <c r="AE297">
        <f t="shared" si="134"/>
        <v>0</v>
      </c>
    </row>
    <row r="298" spans="1:31" x14ac:dyDescent="0.2">
      <c r="A298" s="347">
        <v>20069</v>
      </c>
      <c r="B298" s="364">
        <f t="shared" si="128"/>
        <v>20.068999999999999</v>
      </c>
      <c r="C298" s="337">
        <f t="shared" si="109"/>
        <v>39.841921516851755</v>
      </c>
      <c r="D298" s="338">
        <f t="shared" si="110"/>
        <v>1.5456944997092894</v>
      </c>
      <c r="E298" s="338">
        <f t="shared" si="111"/>
        <v>1.0004578300391962</v>
      </c>
      <c r="F298" s="339">
        <f t="shared" si="112"/>
        <v>3.0254104970731641E-2</v>
      </c>
      <c r="G298" s="338">
        <f t="shared" si="113"/>
        <v>1</v>
      </c>
      <c r="H298" s="339">
        <f t="shared" si="114"/>
        <v>0</v>
      </c>
      <c r="I298" s="337">
        <f t="shared" si="115"/>
        <v>3796.5849335445278</v>
      </c>
      <c r="J298" s="340">
        <f t="shared" si="116"/>
        <v>1.5705329321839325</v>
      </c>
      <c r="K298" s="348">
        <f t="shared" si="132"/>
        <v>3.7167034042497993</v>
      </c>
      <c r="L298" s="349">
        <f t="shared" si="133"/>
        <v>1.2983839503948318</v>
      </c>
      <c r="M298" s="337">
        <f t="shared" si="117"/>
        <v>1.0011747901664243</v>
      </c>
      <c r="N298" s="340">
        <f t="shared" si="118"/>
        <v>4.8448760732785721E-2</v>
      </c>
      <c r="O298" s="341">
        <f t="shared" si="119"/>
        <v>0.99989921229986622</v>
      </c>
      <c r="P298" s="342">
        <f t="shared" si="120"/>
        <v>2.4577335175055399E-2</v>
      </c>
      <c r="Q298" s="343">
        <f t="shared" si="121"/>
        <v>9.834299853366419</v>
      </c>
      <c r="R298" s="344">
        <f t="shared" si="122"/>
        <v>-106.60541398910833</v>
      </c>
      <c r="S298" s="346">
        <f t="shared" si="123"/>
        <v>73.394586010891672</v>
      </c>
      <c r="U298" s="319">
        <f t="shared" si="129"/>
        <v>1000000000</v>
      </c>
      <c r="V298" s="319">
        <f t="shared" si="130"/>
        <v>402764761</v>
      </c>
      <c r="X298" s="345">
        <f t="shared" si="124"/>
        <v>37.512322002216607</v>
      </c>
      <c r="Y298" s="346">
        <f t="shared" si="125"/>
        <v>-18.368897588915466</v>
      </c>
      <c r="AA298" s="345">
        <f t="shared" si="126"/>
        <v>29.120024864066572</v>
      </c>
      <c r="AB298" s="346">
        <f t="shared" si="127"/>
        <v>-88.236516400192855</v>
      </c>
      <c r="AD298">
        <f t="shared" si="131"/>
        <v>0</v>
      </c>
      <c r="AE298">
        <f t="shared" si="134"/>
        <v>0</v>
      </c>
    </row>
    <row r="299" spans="1:31" x14ac:dyDescent="0.2">
      <c r="A299" s="347">
        <v>20185</v>
      </c>
      <c r="B299" s="364">
        <f t="shared" si="128"/>
        <v>20.184999999999999</v>
      </c>
      <c r="C299" s="337">
        <f t="shared" si="109"/>
        <v>40.072065507610404</v>
      </c>
      <c r="D299" s="338">
        <f t="shared" si="110"/>
        <v>1.5458386958675632</v>
      </c>
      <c r="E299" s="338">
        <f t="shared" si="111"/>
        <v>1.0004631366754</v>
      </c>
      <c r="F299" s="339">
        <f t="shared" si="112"/>
        <v>3.0428867862511439E-2</v>
      </c>
      <c r="G299" s="338">
        <f t="shared" si="113"/>
        <v>1</v>
      </c>
      <c r="H299" s="339">
        <f t="shared" si="114"/>
        <v>0</v>
      </c>
      <c r="I299" s="337">
        <f t="shared" si="115"/>
        <v>3818.5294161707261</v>
      </c>
      <c r="J299" s="340">
        <f t="shared" si="116"/>
        <v>1.5705344458710007</v>
      </c>
      <c r="K299" s="348">
        <f t="shared" si="132"/>
        <v>3.7366351579163015</v>
      </c>
      <c r="L299" s="349">
        <f t="shared" si="133"/>
        <v>1.2998737718114799</v>
      </c>
      <c r="M299" s="337">
        <f t="shared" si="117"/>
        <v>1.0011884020441115</v>
      </c>
      <c r="N299" s="340">
        <f t="shared" si="118"/>
        <v>4.8728355609653176E-2</v>
      </c>
      <c r="O299" s="341">
        <f t="shared" si="119"/>
        <v>0.99989804470674981</v>
      </c>
      <c r="P299" s="342">
        <f t="shared" si="120"/>
        <v>2.4719451347279802E-2</v>
      </c>
      <c r="Q299" s="343">
        <f t="shared" si="121"/>
        <v>9.7806043095508386</v>
      </c>
      <c r="R299" s="344">
        <f t="shared" si="122"/>
        <v>-106.54255115597846</v>
      </c>
      <c r="S299" s="346">
        <f t="shared" si="123"/>
        <v>73.457448844021542</v>
      </c>
      <c r="U299" s="319">
        <f t="shared" si="129"/>
        <v>1000000000</v>
      </c>
      <c r="V299" s="319">
        <f t="shared" si="130"/>
        <v>407434225</v>
      </c>
      <c r="X299" s="345">
        <f t="shared" si="124"/>
        <v>37.508599304277588</v>
      </c>
      <c r="Y299" s="346">
        <f t="shared" si="125"/>
        <v>-18.299643443732688</v>
      </c>
      <c r="AA299" s="345">
        <f t="shared" si="126"/>
        <v>29.070052018190008</v>
      </c>
      <c r="AB299" s="346">
        <f t="shared" si="127"/>
        <v>-88.242907712245767</v>
      </c>
      <c r="AD299">
        <f t="shared" si="131"/>
        <v>0</v>
      </c>
      <c r="AE299">
        <f t="shared" si="134"/>
        <v>0</v>
      </c>
    </row>
    <row r="300" spans="1:31" x14ac:dyDescent="0.2">
      <c r="A300" s="347">
        <v>20301</v>
      </c>
      <c r="B300" s="364">
        <f t="shared" si="128"/>
        <v>20.300999999999998</v>
      </c>
      <c r="C300" s="337">
        <f t="shared" si="109"/>
        <v>40.302210322052851</v>
      </c>
      <c r="D300" s="338">
        <f t="shared" si="110"/>
        <v>1.5459812451713013</v>
      </c>
      <c r="E300" s="338">
        <f t="shared" si="111"/>
        <v>1.0004684738674927</v>
      </c>
      <c r="F300" s="339">
        <f t="shared" si="112"/>
        <v>3.060362889501602E-2</v>
      </c>
      <c r="G300" s="338">
        <f t="shared" si="113"/>
        <v>1</v>
      </c>
      <c r="H300" s="339">
        <f t="shared" si="114"/>
        <v>0</v>
      </c>
      <c r="I300" s="337">
        <f t="shared" si="115"/>
        <v>3840.4738988055747</v>
      </c>
      <c r="J300" s="340">
        <f t="shared" si="116"/>
        <v>1.5705359422596414</v>
      </c>
      <c r="K300" s="348">
        <f t="shared" si="132"/>
        <v>3.7565751172773005</v>
      </c>
      <c r="L300" s="349">
        <f t="shared" si="133"/>
        <v>1.3013477804802434</v>
      </c>
      <c r="M300" s="337">
        <f t="shared" si="117"/>
        <v>1.0012020921858638</v>
      </c>
      <c r="N300" s="340">
        <f t="shared" si="118"/>
        <v>4.9007942862180826E-2</v>
      </c>
      <c r="O300" s="341">
        <f t="shared" si="119"/>
        <v>0.99989687040494424</v>
      </c>
      <c r="P300" s="342">
        <f t="shared" si="120"/>
        <v>2.486156851761041E-2</v>
      </c>
      <c r="Q300" s="343">
        <f t="shared" si="121"/>
        <v>9.7272534381054037</v>
      </c>
      <c r="R300" s="344">
        <f t="shared" si="122"/>
        <v>-106.48049870449798</v>
      </c>
      <c r="S300" s="346">
        <f t="shared" si="123"/>
        <v>73.519501295502025</v>
      </c>
      <c r="U300" s="319">
        <f t="shared" si="129"/>
        <v>1000000000</v>
      </c>
      <c r="V300" s="319">
        <f t="shared" si="130"/>
        <v>412130601</v>
      </c>
      <c r="X300" s="345">
        <f t="shared" si="124"/>
        <v>37.50493462454768</v>
      </c>
      <c r="Y300" s="346">
        <f t="shared" si="125"/>
        <v>-18.231293874297862</v>
      </c>
      <c r="AA300" s="345">
        <f t="shared" si="126"/>
        <v>29.020365826474489</v>
      </c>
      <c r="AB300" s="346">
        <f t="shared" si="127"/>
        <v>-88.249204830200114</v>
      </c>
      <c r="AD300">
        <f t="shared" si="131"/>
        <v>0</v>
      </c>
      <c r="AE300">
        <f t="shared" si="134"/>
        <v>0</v>
      </c>
    </row>
    <row r="301" spans="1:31" x14ac:dyDescent="0.2">
      <c r="A301" s="347">
        <v>20417</v>
      </c>
      <c r="B301" s="364">
        <f t="shared" si="128"/>
        <v>20.417000000000002</v>
      </c>
      <c r="C301" s="337">
        <f t="shared" si="109"/>
        <v>40.532355946148328</v>
      </c>
      <c r="D301" s="338">
        <f t="shared" si="110"/>
        <v>1.5461221756675352</v>
      </c>
      <c r="E301" s="338">
        <f t="shared" si="111"/>
        <v>1.0004738416149852</v>
      </c>
      <c r="F301" s="339">
        <f t="shared" si="112"/>
        <v>3.0778388057600338E-2</v>
      </c>
      <c r="G301" s="338">
        <f t="shared" si="113"/>
        <v>1</v>
      </c>
      <c r="H301" s="339">
        <f t="shared" si="114"/>
        <v>0</v>
      </c>
      <c r="I301" s="337">
        <f t="shared" si="115"/>
        <v>3862.4183814489243</v>
      </c>
      <c r="J301" s="340">
        <f t="shared" si="116"/>
        <v>1.5705374216446999</v>
      </c>
      <c r="K301" s="348">
        <f t="shared" si="132"/>
        <v>3.7765231523551384</v>
      </c>
      <c r="L301" s="349">
        <f t="shared" si="133"/>
        <v>1.3028062205190476</v>
      </c>
      <c r="M301" s="337">
        <f t="shared" si="117"/>
        <v>1.0012158605884702</v>
      </c>
      <c r="N301" s="340">
        <f t="shared" si="118"/>
        <v>4.9287522446972203E-2</v>
      </c>
      <c r="O301" s="341">
        <f t="shared" si="119"/>
        <v>0.999895689394805</v>
      </c>
      <c r="P301" s="342">
        <f t="shared" si="120"/>
        <v>2.5003686691781619E-2</v>
      </c>
      <c r="Q301" s="343">
        <f t="shared" si="121"/>
        <v>9.674242729424261</v>
      </c>
      <c r="R301" s="344">
        <f t="shared" si="122"/>
        <v>-106.41924427006197</v>
      </c>
      <c r="S301" s="346">
        <f t="shared" si="123"/>
        <v>73.580755729938033</v>
      </c>
      <c r="U301" s="319">
        <f t="shared" si="129"/>
        <v>1000000000</v>
      </c>
      <c r="V301" s="319">
        <f t="shared" si="130"/>
        <v>416853889</v>
      </c>
      <c r="X301" s="345">
        <f t="shared" si="124"/>
        <v>37.501326710298784</v>
      </c>
      <c r="Y301" s="346">
        <f t="shared" si="125"/>
        <v>-18.163834908091093</v>
      </c>
      <c r="AA301" s="345">
        <f t="shared" si="126"/>
        <v>28.970963032042238</v>
      </c>
      <c r="AB301" s="346">
        <f t="shared" si="127"/>
        <v>-88.255409361970891</v>
      </c>
      <c r="AD301">
        <f t="shared" si="131"/>
        <v>0</v>
      </c>
      <c r="AE301">
        <f t="shared" si="134"/>
        <v>0</v>
      </c>
    </row>
    <row r="302" spans="1:31" x14ac:dyDescent="0.2">
      <c r="A302" s="347">
        <v>20536</v>
      </c>
      <c r="B302" s="364">
        <f t="shared" si="128"/>
        <v>20.536000000000001</v>
      </c>
      <c r="C302" s="337">
        <f t="shared" si="109"/>
        <v>40.768454439207765</v>
      </c>
      <c r="D302" s="338">
        <f t="shared" si="110"/>
        <v>1.5462650974984355</v>
      </c>
      <c r="E302" s="338">
        <f t="shared" si="111"/>
        <v>1.0004793799339751</v>
      </c>
      <c r="F302" s="339">
        <f t="shared" si="112"/>
        <v>3.0957664899457935E-2</v>
      </c>
      <c r="G302" s="338">
        <f t="shared" si="113"/>
        <v>1</v>
      </c>
      <c r="H302" s="339">
        <f t="shared" si="114"/>
        <v>0</v>
      </c>
      <c r="I302" s="337">
        <f t="shared" si="115"/>
        <v>3884.930393824493</v>
      </c>
      <c r="J302" s="340">
        <f t="shared" si="116"/>
        <v>1.5705389219228216</v>
      </c>
      <c r="K302" s="348">
        <f t="shared" si="132"/>
        <v>3.7969953431901948</v>
      </c>
      <c r="L302" s="349">
        <f t="shared" si="133"/>
        <v>1.3042864517682693</v>
      </c>
      <c r="M302" s="337">
        <f t="shared" si="117"/>
        <v>1.0012300663900782</v>
      </c>
      <c r="N302" s="340">
        <f t="shared" si="118"/>
        <v>4.9574324525035324E-2</v>
      </c>
      <c r="O302" s="341">
        <f t="shared" si="119"/>
        <v>0.99989447087086103</v>
      </c>
      <c r="P302" s="342">
        <f t="shared" si="120"/>
        <v>2.5149481385102989E-2</v>
      </c>
      <c r="Q302" s="343">
        <f t="shared" si="121"/>
        <v>9.6202098930821869</v>
      </c>
      <c r="R302" s="344">
        <f t="shared" si="122"/>
        <v>-106.35722220685115</v>
      </c>
      <c r="S302" s="346">
        <f t="shared" si="123"/>
        <v>73.642777793148852</v>
      </c>
      <c r="U302" s="319">
        <f t="shared" si="129"/>
        <v>1000000000</v>
      </c>
      <c r="V302" s="319">
        <f t="shared" si="130"/>
        <v>421727296</v>
      </c>
      <c r="X302" s="345">
        <f t="shared" si="124"/>
        <v>37.497683196191403</v>
      </c>
      <c r="Y302" s="346">
        <f t="shared" si="125"/>
        <v>-18.095542412962345</v>
      </c>
      <c r="AA302" s="345">
        <f t="shared" si="126"/>
        <v>28.920573709807545</v>
      </c>
      <c r="AB302" s="346">
        <f t="shared" si="127"/>
        <v>-88.261679793888774</v>
      </c>
      <c r="AD302">
        <f t="shared" si="131"/>
        <v>0</v>
      </c>
      <c r="AE302">
        <f t="shared" si="134"/>
        <v>0</v>
      </c>
    </row>
    <row r="303" spans="1:31" x14ac:dyDescent="0.2">
      <c r="A303" s="347">
        <v>20655</v>
      </c>
      <c r="B303" s="364">
        <f t="shared" si="128"/>
        <v>20.655000000000001</v>
      </c>
      <c r="C303" s="337">
        <f t="shared" si="109"/>
        <v>41.00455375544027</v>
      </c>
      <c r="D303" s="338">
        <f t="shared" si="110"/>
        <v>1.5464063734785771</v>
      </c>
      <c r="E303" s="338">
        <f t="shared" si="111"/>
        <v>1.0004849504082016</v>
      </c>
      <c r="F303" s="339">
        <f t="shared" si="112"/>
        <v>3.1136939750731476E-2</v>
      </c>
      <c r="G303" s="338">
        <f t="shared" si="113"/>
        <v>1</v>
      </c>
      <c r="H303" s="339">
        <f t="shared" si="114"/>
        <v>0</v>
      </c>
      <c r="I303" s="337">
        <f t="shared" si="115"/>
        <v>3907.4424062087046</v>
      </c>
      <c r="J303" s="340">
        <f t="shared" si="116"/>
        <v>1.5705404049137892</v>
      </c>
      <c r="K303" s="348">
        <f t="shared" si="132"/>
        <v>3.8174757643212192</v>
      </c>
      <c r="L303" s="349">
        <f t="shared" si="133"/>
        <v>1.3057508035769192</v>
      </c>
      <c r="M303" s="337">
        <f t="shared" si="117"/>
        <v>1.0012443545459573</v>
      </c>
      <c r="N303" s="340">
        <f t="shared" si="118"/>
        <v>4.986111844112838E-2</v>
      </c>
      <c r="O303" s="341">
        <f t="shared" si="119"/>
        <v>0.99989324528787837</v>
      </c>
      <c r="P303" s="342">
        <f t="shared" si="120"/>
        <v>2.5295277147084808E-2</v>
      </c>
      <c r="Q303" s="343">
        <f t="shared" si="121"/>
        <v>9.5665257091675198</v>
      </c>
      <c r="R303" s="344">
        <f t="shared" si="122"/>
        <v>-106.29601438541916</v>
      </c>
      <c r="S303" s="346">
        <f t="shared" si="123"/>
        <v>73.703985614580844</v>
      </c>
      <c r="U303" s="319">
        <f t="shared" si="129"/>
        <v>1000000000</v>
      </c>
      <c r="V303" s="319">
        <f t="shared" si="130"/>
        <v>426629025</v>
      </c>
      <c r="X303" s="345">
        <f t="shared" si="124"/>
        <v>37.494096855881615</v>
      </c>
      <c r="Y303" s="346">
        <f t="shared" si="125"/>
        <v>-18.028158284633022</v>
      </c>
      <c r="AA303" s="345">
        <f t="shared" si="126"/>
        <v>28.870475866202661</v>
      </c>
      <c r="AB303" s="346">
        <f t="shared" si="127"/>
        <v>-88.267856100786162</v>
      </c>
      <c r="AD303">
        <f t="shared" si="131"/>
        <v>0</v>
      </c>
      <c r="AE303">
        <f t="shared" si="134"/>
        <v>0</v>
      </c>
    </row>
    <row r="304" spans="1:31" x14ac:dyDescent="0.2">
      <c r="A304" s="347">
        <v>20774</v>
      </c>
      <c r="B304" s="364">
        <f t="shared" si="128"/>
        <v>20.774000000000001</v>
      </c>
      <c r="C304" s="337">
        <f t="shared" si="109"/>
        <v>41.240653880708031</v>
      </c>
      <c r="D304" s="338">
        <f t="shared" si="110"/>
        <v>1.5465460318694451</v>
      </c>
      <c r="E304" s="338">
        <f t="shared" si="111"/>
        <v>1.000490553037128</v>
      </c>
      <c r="F304" s="339">
        <f t="shared" si="112"/>
        <v>3.1316212599930719E-2</v>
      </c>
      <c r="G304" s="338">
        <f t="shared" si="113"/>
        <v>1</v>
      </c>
      <c r="H304" s="339">
        <f t="shared" si="114"/>
        <v>0</v>
      </c>
      <c r="I304" s="337">
        <f t="shared" si="115"/>
        <v>3929.9544186014114</v>
      </c>
      <c r="J304" s="340">
        <f t="shared" si="116"/>
        <v>1.5705418709146812</v>
      </c>
      <c r="K304" s="348">
        <f t="shared" si="132"/>
        <v>3.8379642839909218</v>
      </c>
      <c r="L304" s="349">
        <f t="shared" si="133"/>
        <v>1.3071995239256808</v>
      </c>
      <c r="M304" s="337">
        <f t="shared" si="117"/>
        <v>1.0012587250525811</v>
      </c>
      <c r="N304" s="340">
        <f t="shared" si="118"/>
        <v>5.0147904148423787E-2</v>
      </c>
      <c r="O304" s="341">
        <f t="shared" si="119"/>
        <v>0.99989201264624772</v>
      </c>
      <c r="P304" s="342">
        <f t="shared" si="120"/>
        <v>2.5441073983917876E-2</v>
      </c>
      <c r="Q304" s="343">
        <f t="shared" si="121"/>
        <v>9.5131855905571712</v>
      </c>
      <c r="R304" s="344">
        <f t="shared" si="122"/>
        <v>-106.23560823213478</v>
      </c>
      <c r="S304" s="346">
        <f t="shared" si="123"/>
        <v>73.76439176786522</v>
      </c>
      <c r="U304" s="319">
        <f t="shared" si="129"/>
        <v>1000000000</v>
      </c>
      <c r="V304" s="319">
        <f t="shared" si="130"/>
        <v>431559076</v>
      </c>
      <c r="X304" s="345">
        <f t="shared" si="124"/>
        <v>37.490566441360563</v>
      </c>
      <c r="Y304" s="346">
        <f t="shared" si="125"/>
        <v>-17.961668329194861</v>
      </c>
      <c r="AA304" s="345">
        <f t="shared" si="126"/>
        <v>28.820666162113366</v>
      </c>
      <c r="AB304" s="346">
        <f t="shared" si="127"/>
        <v>-88.273939902939929</v>
      </c>
      <c r="AD304">
        <f t="shared" si="131"/>
        <v>0</v>
      </c>
      <c r="AE304">
        <f t="shared" si="134"/>
        <v>0</v>
      </c>
    </row>
    <row r="305" spans="1:31" x14ac:dyDescent="0.2">
      <c r="A305" s="347">
        <v>20893</v>
      </c>
      <c r="B305" s="364">
        <f t="shared" si="128"/>
        <v>20.893000000000001</v>
      </c>
      <c r="C305" s="337">
        <f t="shared" si="109"/>
        <v>41.476754801195149</v>
      </c>
      <c r="D305" s="338">
        <f t="shared" si="110"/>
        <v>1.546684100289281</v>
      </c>
      <c r="E305" s="338">
        <f t="shared" si="111"/>
        <v>1.0004961878202139</v>
      </c>
      <c r="F305" s="339">
        <f t="shared" si="112"/>
        <v>3.1495483435566171E-2</v>
      </c>
      <c r="G305" s="338">
        <f t="shared" si="113"/>
        <v>1</v>
      </c>
      <c r="H305" s="339">
        <f t="shared" si="114"/>
        <v>0</v>
      </c>
      <c r="I305" s="337">
        <f t="shared" si="115"/>
        <v>3952.4664310024677</v>
      </c>
      <c r="J305" s="340">
        <f t="shared" si="116"/>
        <v>1.5705433202158086</v>
      </c>
      <c r="K305" s="348">
        <f t="shared" si="132"/>
        <v>3.8584607731889977</v>
      </c>
      <c r="L305" s="349">
        <f t="shared" si="133"/>
        <v>1.3086328557916482</v>
      </c>
      <c r="M305" s="337">
        <f t="shared" si="117"/>
        <v>1.0012731779064044</v>
      </c>
      <c r="N305" s="340">
        <f t="shared" si="118"/>
        <v>5.0434681600102019E-2</v>
      </c>
      <c r="O305" s="341">
        <f t="shared" si="119"/>
        <v>0.99989077294636186</v>
      </c>
      <c r="P305" s="342">
        <f t="shared" si="120"/>
        <v>2.5586871901792974E-2</v>
      </c>
      <c r="Q305" s="343">
        <f t="shared" si="121"/>
        <v>9.4601850402949292</v>
      </c>
      <c r="R305" s="344">
        <f t="shared" si="122"/>
        <v>-106.17599142280864</v>
      </c>
      <c r="S305" s="346">
        <f t="shared" si="123"/>
        <v>73.824008577191364</v>
      </c>
      <c r="U305" s="319">
        <f t="shared" si="129"/>
        <v>1000000000</v>
      </c>
      <c r="V305" s="319">
        <f t="shared" si="130"/>
        <v>436517449</v>
      </c>
      <c r="X305" s="345">
        <f t="shared" si="124"/>
        <v>37.487090737702459</v>
      </c>
      <c r="Y305" s="346">
        <f t="shared" si="125"/>
        <v>-17.896058639036863</v>
      </c>
      <c r="AA305" s="345">
        <f t="shared" si="126"/>
        <v>28.771141315509237</v>
      </c>
      <c r="AB305" s="346">
        <f t="shared" si="127"/>
        <v>-88.279932783771756</v>
      </c>
      <c r="AD305">
        <f t="shared" si="131"/>
        <v>0</v>
      </c>
      <c r="AE305">
        <f t="shared" si="134"/>
        <v>0</v>
      </c>
    </row>
    <row r="306" spans="1:31" x14ac:dyDescent="0.2">
      <c r="A306" s="347">
        <v>21014.75</v>
      </c>
      <c r="B306" s="364">
        <f t="shared" si="128"/>
        <v>21.014749999999999</v>
      </c>
      <c r="C306" s="337">
        <f t="shared" si="109"/>
        <v>41.718312644307389</v>
      </c>
      <c r="D306" s="338">
        <f t="shared" si="110"/>
        <v>1.5468237420033535</v>
      </c>
      <c r="E306" s="338">
        <f t="shared" si="111"/>
        <v>1.0005019860956412</v>
      </c>
      <c r="F306" s="339">
        <f t="shared" si="112"/>
        <v>3.1678894988749234E-2</v>
      </c>
      <c r="G306" s="338">
        <f t="shared" si="113"/>
        <v>1</v>
      </c>
      <c r="H306" s="339">
        <f t="shared" si="114"/>
        <v>0</v>
      </c>
      <c r="I306" s="337">
        <f t="shared" si="115"/>
        <v>3975.4986789927148</v>
      </c>
      <c r="J306" s="340">
        <f t="shared" si="116"/>
        <v>1.5705447860219541</v>
      </c>
      <c r="K306" s="348">
        <f t="shared" si="132"/>
        <v>3.8794390369244689</v>
      </c>
      <c r="L306" s="349">
        <f t="shared" si="133"/>
        <v>1.3100836331385675</v>
      </c>
      <c r="M306" s="337">
        <f t="shared" si="117"/>
        <v>1.0012880499746897</v>
      </c>
      <c r="N306" s="340">
        <f t="shared" si="118"/>
        <v>5.0728077668985162E-2</v>
      </c>
      <c r="O306" s="341">
        <f t="shared" si="119"/>
        <v>0.99988949729355514</v>
      </c>
      <c r="P306" s="342">
        <f t="shared" si="120"/>
        <v>2.573604022454298E-2</v>
      </c>
      <c r="Q306" s="343">
        <f t="shared" si="121"/>
        <v>9.4063065194076056</v>
      </c>
      <c r="R306" s="344">
        <f t="shared" si="122"/>
        <v>-106.11580123300628</v>
      </c>
      <c r="S306" s="346">
        <f t="shared" si="123"/>
        <v>73.88419876699372</v>
      </c>
      <c r="U306" s="319">
        <f t="shared" si="129"/>
        <v>1000000000</v>
      </c>
      <c r="V306" s="319">
        <f t="shared" si="130"/>
        <v>441619717.5625</v>
      </c>
      <c r="X306" s="345">
        <f t="shared" si="124"/>
        <v>37.483590101684655</v>
      </c>
      <c r="Y306" s="346">
        <f t="shared" si="125"/>
        <v>-17.829829560947985</v>
      </c>
      <c r="AA306" s="345">
        <f t="shared" si="126"/>
        <v>28.720763430639707</v>
      </c>
      <c r="AB306" s="346">
        <f t="shared" si="127"/>
        <v>-88.285971672058267</v>
      </c>
      <c r="AD306">
        <f t="shared" si="131"/>
        <v>0</v>
      </c>
      <c r="AE306">
        <f t="shared" si="134"/>
        <v>0</v>
      </c>
    </row>
    <row r="307" spans="1:31" x14ac:dyDescent="0.2">
      <c r="A307" s="347">
        <v>21136.5</v>
      </c>
      <c r="B307" s="364">
        <f t="shared" si="128"/>
        <v>21.136500000000002</v>
      </c>
      <c r="C307" s="337">
        <f t="shared" si="109"/>
        <v>41.95987129155229</v>
      </c>
      <c r="D307" s="338">
        <f t="shared" si="110"/>
        <v>1.5469617759142282</v>
      </c>
      <c r="E307" s="338">
        <f t="shared" si="111"/>
        <v>1.0005078180273625</v>
      </c>
      <c r="F307" s="339">
        <f t="shared" si="112"/>
        <v>3.1862304409900594E-2</v>
      </c>
      <c r="G307" s="338">
        <f t="shared" si="113"/>
        <v>1</v>
      </c>
      <c r="H307" s="339">
        <f t="shared" si="114"/>
        <v>0</v>
      </c>
      <c r="I307" s="337">
        <f t="shared" si="115"/>
        <v>3998.5309269914051</v>
      </c>
      <c r="J307" s="340">
        <f t="shared" si="116"/>
        <v>1.5705462349414927</v>
      </c>
      <c r="K307" s="348">
        <f t="shared" si="132"/>
        <v>3.9004253780852776</v>
      </c>
      <c r="L307" s="349">
        <f t="shared" si="133"/>
        <v>1.3115188015879227</v>
      </c>
      <c r="M307" s="337">
        <f t="shared" si="117"/>
        <v>1.0013030082325403</v>
      </c>
      <c r="N307" s="340">
        <f t="shared" si="118"/>
        <v>5.1021464997156853E-2</v>
      </c>
      <c r="O307" s="341">
        <f t="shared" si="119"/>
        <v>0.99988821425334107</v>
      </c>
      <c r="P307" s="342">
        <f t="shared" si="120"/>
        <v>2.588520969198654E-2</v>
      </c>
      <c r="Q307" s="343">
        <f t="shared" si="121"/>
        <v>9.3527741984175989</v>
      </c>
      <c r="R307" s="344">
        <f t="shared" si="122"/>
        <v>-106.05641196622588</v>
      </c>
      <c r="S307" s="346">
        <f t="shared" si="123"/>
        <v>73.94358803377412</v>
      </c>
      <c r="U307" s="319">
        <f t="shared" si="129"/>
        <v>1000000000</v>
      </c>
      <c r="V307" s="319">
        <f t="shared" si="130"/>
        <v>446751632.25</v>
      </c>
      <c r="X307" s="345">
        <f t="shared" si="124"/>
        <v>37.480144263178367</v>
      </c>
      <c r="Y307" s="346">
        <f t="shared" si="125"/>
        <v>-17.764493338476207</v>
      </c>
      <c r="AA307" s="345">
        <f t="shared" si="126"/>
        <v>28.670676948155993</v>
      </c>
      <c r="AB307" s="346">
        <f t="shared" si="127"/>
        <v>-88.291918627749695</v>
      </c>
      <c r="AD307">
        <f t="shared" si="131"/>
        <v>0</v>
      </c>
      <c r="AE307">
        <f t="shared" si="134"/>
        <v>0</v>
      </c>
    </row>
    <row r="308" spans="1:31" x14ac:dyDescent="0.2">
      <c r="A308" s="347">
        <v>21258.25</v>
      </c>
      <c r="B308" s="364">
        <f t="shared" si="128"/>
        <v>21.25825</v>
      </c>
      <c r="C308" s="337">
        <f t="shared" si="109"/>
        <v>42.201430729121419</v>
      </c>
      <c r="D308" s="338">
        <f t="shared" si="110"/>
        <v>1.5470982296256186</v>
      </c>
      <c r="E308" s="338">
        <f t="shared" si="111"/>
        <v>1.000513683614789</v>
      </c>
      <c r="F308" s="339">
        <f t="shared" si="112"/>
        <v>3.2045711686718222E-2</v>
      </c>
      <c r="G308" s="338">
        <f t="shared" si="113"/>
        <v>1</v>
      </c>
      <c r="H308" s="339">
        <f t="shared" si="114"/>
        <v>0</v>
      </c>
      <c r="I308" s="337">
        <f t="shared" si="115"/>
        <v>4021.5631749983936</v>
      </c>
      <c r="J308" s="340">
        <f t="shared" si="116"/>
        <v>1.5705476672645622</v>
      </c>
      <c r="K308" s="348">
        <f t="shared" si="132"/>
        <v>3.9214196669870627</v>
      </c>
      <c r="L308" s="349">
        <f t="shared" si="133"/>
        <v>1.312938605877976</v>
      </c>
      <c r="M308" s="337">
        <f t="shared" si="117"/>
        <v>1.0013180526760939</v>
      </c>
      <c r="N308" s="340">
        <f t="shared" si="118"/>
        <v>5.1314843534502663E-2</v>
      </c>
      <c r="O308" s="341">
        <f t="shared" si="119"/>
        <v>0.99988692382614786</v>
      </c>
      <c r="P308" s="342">
        <f t="shared" si="120"/>
        <v>2.603438031075353E-2</v>
      </c>
      <c r="Q308" s="343">
        <f t="shared" si="121"/>
        <v>9.2995835394296336</v>
      </c>
      <c r="R308" s="344">
        <f t="shared" si="122"/>
        <v>-105.99781119641138</v>
      </c>
      <c r="S308" s="346">
        <f t="shared" si="123"/>
        <v>74.002188803588624</v>
      </c>
      <c r="U308" s="319">
        <f t="shared" si="129"/>
        <v>1000000000</v>
      </c>
      <c r="V308" s="319">
        <f t="shared" si="130"/>
        <v>451913193.0625</v>
      </c>
      <c r="X308" s="345">
        <f t="shared" si="124"/>
        <v>37.476752021958205</v>
      </c>
      <c r="Y308" s="346">
        <f t="shared" si="125"/>
        <v>-17.700035962904362</v>
      </c>
      <c r="AA308" s="345">
        <f t="shared" si="126"/>
        <v>28.620878530388193</v>
      </c>
      <c r="AB308" s="346">
        <f t="shared" si="127"/>
        <v>-88.297775233506997</v>
      </c>
      <c r="AD308">
        <f t="shared" si="131"/>
        <v>0</v>
      </c>
      <c r="AE308">
        <f t="shared" si="134"/>
        <v>0</v>
      </c>
    </row>
    <row r="309" spans="1:31" x14ac:dyDescent="0.2">
      <c r="A309" s="347">
        <v>21380</v>
      </c>
      <c r="B309" s="364">
        <f t="shared" si="128"/>
        <v>21.38</v>
      </c>
      <c r="C309" s="337">
        <f t="shared" si="109"/>
        <v>42.442990943520655</v>
      </c>
      <c r="D309" s="338">
        <f t="shared" si="110"/>
        <v>1.5472331301130611</v>
      </c>
      <c r="E309" s="338">
        <f t="shared" si="111"/>
        <v>1.0005195828573288</v>
      </c>
      <c r="F309" s="339">
        <f t="shared" si="112"/>
        <v>3.2229116806900951E-2</v>
      </c>
      <c r="G309" s="338">
        <f t="shared" si="113"/>
        <v>1</v>
      </c>
      <c r="H309" s="339">
        <f t="shared" si="114"/>
        <v>0</v>
      </c>
      <c r="I309" s="337">
        <f t="shared" si="115"/>
        <v>4044.5954230135389</v>
      </c>
      <c r="J309" s="340">
        <f t="shared" si="116"/>
        <v>1.5705490832746922</v>
      </c>
      <c r="K309" s="348">
        <f t="shared" si="132"/>
        <v>3.9424217766592635</v>
      </c>
      <c r="L309" s="349">
        <f t="shared" si="133"/>
        <v>1.3143432857826467</v>
      </c>
      <c r="M309" s="337">
        <f t="shared" si="117"/>
        <v>1.0013331833014656</v>
      </c>
      <c r="N309" s="340">
        <f t="shared" si="118"/>
        <v>5.1608213230917209E-2</v>
      </c>
      <c r="O309" s="341">
        <f t="shared" si="119"/>
        <v>0.99988562601240583</v>
      </c>
      <c r="P309" s="342">
        <f t="shared" si="120"/>
        <v>2.6183552087473781E-2</v>
      </c>
      <c r="Q309" s="343">
        <f t="shared" si="121"/>
        <v>9.2467300935067662</v>
      </c>
      <c r="R309" s="344">
        <f t="shared" si="122"/>
        <v>-105.9399867455723</v>
      </c>
      <c r="S309" s="346">
        <f t="shared" si="123"/>
        <v>74.060013254427702</v>
      </c>
      <c r="U309" s="319">
        <f t="shared" si="129"/>
        <v>1000000000</v>
      </c>
      <c r="V309" s="319">
        <f t="shared" si="130"/>
        <v>457104400</v>
      </c>
      <c r="X309" s="345">
        <f t="shared" si="124"/>
        <v>37.473412209703099</v>
      </c>
      <c r="Y309" s="346">
        <f t="shared" si="125"/>
        <v>-17.636443709573008</v>
      </c>
      <c r="AA309" s="345">
        <f t="shared" si="126"/>
        <v>28.571364896720432</v>
      </c>
      <c r="AB309" s="346">
        <f t="shared" si="127"/>
        <v>-88.303543035999297</v>
      </c>
      <c r="AD309">
        <f t="shared" si="131"/>
        <v>0</v>
      </c>
      <c r="AE309">
        <f t="shared" si="134"/>
        <v>0</v>
      </c>
    </row>
    <row r="310" spans="1:31" x14ac:dyDescent="0.2">
      <c r="A310" s="347">
        <v>21504.5</v>
      </c>
      <c r="B310" s="364">
        <f t="shared" si="128"/>
        <v>21.5045</v>
      </c>
      <c r="C310" s="337">
        <f t="shared" si="109"/>
        <v>42.690008133068879</v>
      </c>
      <c r="D310" s="338">
        <f t="shared" si="110"/>
        <v>1.5473694988562021</v>
      </c>
      <c r="E310" s="338">
        <f t="shared" si="111"/>
        <v>1.0005256501509905</v>
      </c>
      <c r="F310" s="339">
        <f t="shared" si="112"/>
        <v>3.2416662304798366E-2</v>
      </c>
      <c r="G310" s="338">
        <f t="shared" si="113"/>
        <v>1</v>
      </c>
      <c r="H310" s="339">
        <f t="shared" si="114"/>
        <v>0</v>
      </c>
      <c r="I310" s="337">
        <f t="shared" si="115"/>
        <v>4068.1479066184252</v>
      </c>
      <c r="J310" s="340">
        <f t="shared" si="116"/>
        <v>1.5705505146875138</v>
      </c>
      <c r="K310" s="348">
        <f t="shared" si="132"/>
        <v>3.9639062248493899</v>
      </c>
      <c r="L310" s="349">
        <f t="shared" si="133"/>
        <v>1.315764297651151</v>
      </c>
      <c r="M310" s="337">
        <f t="shared" si="117"/>
        <v>1.0013487448059923</v>
      </c>
      <c r="N310" s="340">
        <f t="shared" si="118"/>
        <v>5.1908200152657714E-2</v>
      </c>
      <c r="O310" s="341">
        <f t="shared" si="119"/>
        <v>0.99988429124635092</v>
      </c>
      <c r="P310" s="342">
        <f t="shared" si="120"/>
        <v>2.6336094451629984E-2</v>
      </c>
      <c r="Q310" s="343">
        <f t="shared" si="121"/>
        <v>9.1930270121038298</v>
      </c>
      <c r="R310" s="344">
        <f t="shared" si="122"/>
        <v>-105.881646582847</v>
      </c>
      <c r="S310" s="346">
        <f t="shared" si="123"/>
        <v>74.118353417153003</v>
      </c>
      <c r="U310" s="319">
        <f t="shared" si="129"/>
        <v>1000000000</v>
      </c>
      <c r="V310" s="319">
        <f t="shared" si="130"/>
        <v>462443520.25</v>
      </c>
      <c r="X310" s="345">
        <f t="shared" si="124"/>
        <v>37.470049993966299</v>
      </c>
      <c r="Y310" s="346">
        <f t="shared" si="125"/>
        <v>-17.572295725234675</v>
      </c>
      <c r="AA310" s="345">
        <f t="shared" si="126"/>
        <v>28.521024031054289</v>
      </c>
      <c r="AB310" s="346">
        <f t="shared" si="127"/>
        <v>-88.309350857612316</v>
      </c>
      <c r="AD310">
        <f t="shared" si="131"/>
        <v>0</v>
      </c>
      <c r="AE310">
        <f t="shared" si="134"/>
        <v>0</v>
      </c>
    </row>
    <row r="311" spans="1:31" x14ac:dyDescent="0.2">
      <c r="A311" s="347">
        <v>21629</v>
      </c>
      <c r="B311" s="364">
        <f t="shared" si="128"/>
        <v>21.629000000000001</v>
      </c>
      <c r="C311" s="337">
        <f t="shared" si="109"/>
        <v>42.937026107364588</v>
      </c>
      <c r="D311" s="338">
        <f t="shared" si="110"/>
        <v>1.5475042985350445</v>
      </c>
      <c r="E311" s="338">
        <f t="shared" si="111"/>
        <v>1.0005317526360273</v>
      </c>
      <c r="F311" s="339">
        <f t="shared" si="112"/>
        <v>3.2604205521521566E-2</v>
      </c>
      <c r="G311" s="338">
        <f t="shared" si="113"/>
        <v>1</v>
      </c>
      <c r="H311" s="339">
        <f t="shared" si="114"/>
        <v>0</v>
      </c>
      <c r="I311" s="337">
        <f t="shared" si="115"/>
        <v>4091.700390231551</v>
      </c>
      <c r="J311" s="340">
        <f t="shared" si="116"/>
        <v>1.5705519296214521</v>
      </c>
      <c r="K311" s="348">
        <f t="shared" si="132"/>
        <v>3.9853985909477236</v>
      </c>
      <c r="L311" s="349">
        <f t="shared" si="133"/>
        <v>1.317169985932259</v>
      </c>
      <c r="M311" s="337">
        <f t="shared" si="117"/>
        <v>1.0013643964212433</v>
      </c>
      <c r="N311" s="340">
        <f t="shared" si="118"/>
        <v>5.2208177723628367E-2</v>
      </c>
      <c r="O311" s="341">
        <f t="shared" si="119"/>
        <v>0.9998829487572134</v>
      </c>
      <c r="P311" s="342">
        <f t="shared" si="120"/>
        <v>2.6488638040662128E-2</v>
      </c>
      <c r="Q311" s="343">
        <f t="shared" si="121"/>
        <v>9.1396674147201189</v>
      </c>
      <c r="R311" s="344">
        <f t="shared" si="122"/>
        <v>-105.82409321719706</v>
      </c>
      <c r="S311" s="346">
        <f t="shared" si="123"/>
        <v>74.17590678280294</v>
      </c>
      <c r="U311" s="319">
        <f t="shared" si="129"/>
        <v>1000000000</v>
      </c>
      <c r="V311" s="319">
        <f t="shared" si="130"/>
        <v>467813641</v>
      </c>
      <c r="X311" s="345">
        <f t="shared" si="124"/>
        <v>37.46674022925248</v>
      </c>
      <c r="Y311" s="346">
        <f t="shared" si="125"/>
        <v>-17.509024237852046</v>
      </c>
      <c r="AA311" s="345">
        <f t="shared" si="126"/>
        <v>28.470974198384404</v>
      </c>
      <c r="AB311" s="346">
        <f t="shared" si="127"/>
        <v>-88.315068979345</v>
      </c>
      <c r="AD311">
        <f t="shared" si="131"/>
        <v>0</v>
      </c>
      <c r="AE311">
        <f t="shared" si="134"/>
        <v>0</v>
      </c>
    </row>
    <row r="312" spans="1:31" x14ac:dyDescent="0.2">
      <c r="A312" s="347">
        <v>21753.5</v>
      </c>
      <c r="B312" s="364">
        <f t="shared" si="128"/>
        <v>21.753499999999999</v>
      </c>
      <c r="C312" s="337">
        <f t="shared" si="109"/>
        <v>43.184044852941241</v>
      </c>
      <c r="D312" s="338">
        <f t="shared" si="110"/>
        <v>1.5476375560704445</v>
      </c>
      <c r="E312" s="338">
        <f t="shared" si="111"/>
        <v>1.0005378903117954</v>
      </c>
      <c r="F312" s="339">
        <f t="shared" si="112"/>
        <v>3.279174644391971E-2</v>
      </c>
      <c r="G312" s="338">
        <f t="shared" si="113"/>
        <v>1</v>
      </c>
      <c r="H312" s="339">
        <f t="shared" si="114"/>
        <v>0</v>
      </c>
      <c r="I312" s="337">
        <f t="shared" si="115"/>
        <v>4115.2528738527744</v>
      </c>
      <c r="J312" s="340">
        <f t="shared" si="116"/>
        <v>1.5705533283594433</v>
      </c>
      <c r="K312" s="348">
        <f t="shared" si="132"/>
        <v>4.0068987475430742</v>
      </c>
      <c r="L312" s="349">
        <f t="shared" si="133"/>
        <v>1.3185605916948657</v>
      </c>
      <c r="M312" s="337">
        <f t="shared" si="117"/>
        <v>1.0013801381429932</v>
      </c>
      <c r="N312" s="340">
        <f t="shared" si="118"/>
        <v>5.2508145890281022E-2</v>
      </c>
      <c r="O312" s="341">
        <f t="shared" si="119"/>
        <v>0.99988159854546155</v>
      </c>
      <c r="P312" s="342">
        <f t="shared" si="120"/>
        <v>2.6641182861659406E-2</v>
      </c>
      <c r="Q312" s="343">
        <f t="shared" si="121"/>
        <v>9.0866468179806485</v>
      </c>
      <c r="R312" s="344">
        <f t="shared" si="122"/>
        <v>-105.76731439314631</v>
      </c>
      <c r="S312" s="346">
        <f t="shared" si="123"/>
        <v>74.232685606853693</v>
      </c>
      <c r="U312" s="319">
        <f t="shared" si="129"/>
        <v>1000000000</v>
      </c>
      <c r="V312" s="319">
        <f t="shared" si="130"/>
        <v>473214762.25</v>
      </c>
      <c r="X312" s="345">
        <f t="shared" si="124"/>
        <v>37.463481763373913</v>
      </c>
      <c r="Y312" s="346">
        <f t="shared" si="125"/>
        <v>-17.446615448337813</v>
      </c>
      <c r="AA312" s="345">
        <f t="shared" si="126"/>
        <v>28.421212067523495</v>
      </c>
      <c r="AB312" s="346">
        <f t="shared" si="127"/>
        <v>-88.320698944808498</v>
      </c>
      <c r="AD312">
        <f t="shared" si="131"/>
        <v>0</v>
      </c>
      <c r="AE312">
        <f t="shared" si="134"/>
        <v>0</v>
      </c>
    </row>
    <row r="313" spans="1:31" x14ac:dyDescent="0.2">
      <c r="A313" s="347">
        <v>21878</v>
      </c>
      <c r="B313" s="364">
        <f t="shared" si="128"/>
        <v>21.878</v>
      </c>
      <c r="C313" s="337">
        <f t="shared" si="109"/>
        <v>43.431064356638601</v>
      </c>
      <c r="D313" s="338">
        <f t="shared" si="110"/>
        <v>1.5477692977710187</v>
      </c>
      <c r="E313" s="338">
        <f t="shared" si="111"/>
        <v>1.000544063177647</v>
      </c>
      <c r="F313" s="339">
        <f t="shared" si="112"/>
        <v>3.2979285058842907E-2</v>
      </c>
      <c r="G313" s="338">
        <f t="shared" si="113"/>
        <v>1</v>
      </c>
      <c r="H313" s="339">
        <f t="shared" si="114"/>
        <v>0</v>
      </c>
      <c r="I313" s="337">
        <f t="shared" si="115"/>
        <v>4138.8053574819587</v>
      </c>
      <c r="J313" s="340">
        <f t="shared" si="116"/>
        <v>1.5705547111779838</v>
      </c>
      <c r="K313" s="348">
        <f t="shared" si="132"/>
        <v>4.0284065698986025</v>
      </c>
      <c r="L313" s="349">
        <f t="shared" si="133"/>
        <v>1.3199363510956998</v>
      </c>
      <c r="M313" s="337">
        <f t="shared" si="117"/>
        <v>1.0013959699669923</v>
      </c>
      <c r="N313" s="340">
        <f t="shared" si="118"/>
        <v>5.2808104599077643E-2</v>
      </c>
      <c r="O313" s="341">
        <f t="shared" si="119"/>
        <v>0.99988024061156644</v>
      </c>
      <c r="P313" s="342">
        <f t="shared" si="120"/>
        <v>2.6793728921710985E-2</v>
      </c>
      <c r="Q313" s="343">
        <f t="shared" si="121"/>
        <v>9.0339608261132049</v>
      </c>
      <c r="R313" s="344">
        <f t="shared" si="122"/>
        <v>-105.71129810121778</v>
      </c>
      <c r="S313" s="346">
        <f t="shared" si="123"/>
        <v>74.288701898782222</v>
      </c>
      <c r="U313" s="319">
        <f t="shared" si="129"/>
        <v>1000000000</v>
      </c>
      <c r="V313" s="319">
        <f t="shared" si="130"/>
        <v>478646884</v>
      </c>
      <c r="X313" s="345">
        <f t="shared" si="124"/>
        <v>37.460273474836079</v>
      </c>
      <c r="Y313" s="346">
        <f t="shared" si="125"/>
        <v>-17.385055838682675</v>
      </c>
      <c r="AA313" s="345">
        <f t="shared" si="126"/>
        <v>28.371734364193884</v>
      </c>
      <c r="AB313" s="346">
        <f t="shared" si="127"/>
        <v>-88.326242262535089</v>
      </c>
      <c r="AD313">
        <f t="shared" si="131"/>
        <v>0</v>
      </c>
      <c r="AE313">
        <f t="shared" si="134"/>
        <v>0</v>
      </c>
    </row>
    <row r="314" spans="1:31" x14ac:dyDescent="0.2">
      <c r="A314" s="347">
        <v>22005.25</v>
      </c>
      <c r="B314" s="364">
        <f t="shared" si="128"/>
        <v>22.00525</v>
      </c>
      <c r="C314" s="337">
        <f t="shared" si="109"/>
        <v>43.683540884469764</v>
      </c>
      <c r="D314" s="338">
        <f t="shared" si="110"/>
        <v>1.5479024097649932</v>
      </c>
      <c r="E314" s="338">
        <f t="shared" si="111"/>
        <v>1.0005504087558679</v>
      </c>
      <c r="F314" s="339">
        <f t="shared" si="112"/>
        <v>3.3170963694793089E-2</v>
      </c>
      <c r="G314" s="338">
        <f t="shared" si="113"/>
        <v>1</v>
      </c>
      <c r="H314" s="339">
        <f t="shared" si="114"/>
        <v>0</v>
      </c>
      <c r="I314" s="337">
        <f t="shared" si="115"/>
        <v>4162.8780767013977</v>
      </c>
      <c r="J314" s="340">
        <f t="shared" si="116"/>
        <v>1.5705561083712021</v>
      </c>
      <c r="K314" s="348">
        <f t="shared" si="132"/>
        <v>4.0503972591297543</v>
      </c>
      <c r="L314" s="349">
        <f t="shared" si="133"/>
        <v>1.3213273976967477</v>
      </c>
      <c r="M314" s="337">
        <f t="shared" si="117"/>
        <v>1.001412244595012</v>
      </c>
      <c r="N314" s="340">
        <f t="shared" si="118"/>
        <v>5.311467907259608E-2</v>
      </c>
      <c r="O314" s="341">
        <f t="shared" si="119"/>
        <v>0.99987884470375954</v>
      </c>
      <c r="P314" s="342">
        <f t="shared" si="120"/>
        <v>2.6949645760838054E-2</v>
      </c>
      <c r="Q314" s="343">
        <f t="shared" si="121"/>
        <v>8.9804523736356074</v>
      </c>
      <c r="R314" s="344">
        <f t="shared" si="122"/>
        <v>-105.65482023395235</v>
      </c>
      <c r="S314" s="346">
        <f t="shared" si="123"/>
        <v>74.34517976604765</v>
      </c>
      <c r="U314" s="319">
        <f t="shared" si="129"/>
        <v>1000000000</v>
      </c>
      <c r="V314" s="319">
        <f t="shared" si="130"/>
        <v>484231027.5625</v>
      </c>
      <c r="X314" s="345">
        <f t="shared" si="124"/>
        <v>37.457045036224017</v>
      </c>
      <c r="Y314" s="346">
        <f t="shared" si="125"/>
        <v>-17.323000215979327</v>
      </c>
      <c r="AA314" s="345">
        <f t="shared" si="126"/>
        <v>28.321454350328356</v>
      </c>
      <c r="AB314" s="346">
        <f t="shared" si="127"/>
        <v>-88.331820017973001</v>
      </c>
      <c r="AD314">
        <f t="shared" si="131"/>
        <v>0</v>
      </c>
      <c r="AE314">
        <f t="shared" si="134"/>
        <v>0</v>
      </c>
    </row>
    <row r="315" spans="1:31" x14ac:dyDescent="0.2">
      <c r="A315" s="347">
        <v>22132.5</v>
      </c>
      <c r="B315" s="364">
        <f t="shared" si="128"/>
        <v>22.1325</v>
      </c>
      <c r="C315" s="337">
        <f t="shared" si="109"/>
        <v>43.936018177425211</v>
      </c>
      <c r="D315" s="338">
        <f t="shared" si="110"/>
        <v>1.5480339919114046</v>
      </c>
      <c r="E315" s="338">
        <f t="shared" si="111"/>
        <v>1.0005567910945434</v>
      </c>
      <c r="F315" s="339">
        <f t="shared" si="112"/>
        <v>3.3362639892431122E-2</v>
      </c>
      <c r="G315" s="338">
        <f t="shared" si="113"/>
        <v>1</v>
      </c>
      <c r="H315" s="339">
        <f t="shared" si="114"/>
        <v>0</v>
      </c>
      <c r="I315" s="337">
        <f t="shared" si="115"/>
        <v>4186.9507959288703</v>
      </c>
      <c r="J315" s="340">
        <f t="shared" si="116"/>
        <v>1.5705574894981986</v>
      </c>
      <c r="K315" s="348">
        <f t="shared" si="132"/>
        <v>4.0723957012692189</v>
      </c>
      <c r="L315" s="349">
        <f t="shared" si="133"/>
        <v>1.322703418505855</v>
      </c>
      <c r="M315" s="337">
        <f t="shared" si="117"/>
        <v>1.0014286133406087</v>
      </c>
      <c r="N315" s="340">
        <f t="shared" si="118"/>
        <v>5.3421243552765764E-2</v>
      </c>
      <c r="O315" s="341">
        <f t="shared" si="119"/>
        <v>0.99987744072990681</v>
      </c>
      <c r="P315" s="342">
        <f t="shared" si="120"/>
        <v>2.7105563909336321E-2</v>
      </c>
      <c r="Q315" s="343">
        <f t="shared" si="121"/>
        <v>8.9272844557446405</v>
      </c>
      <c r="R315" s="344">
        <f t="shared" si="122"/>
        <v>-105.59911434896416</v>
      </c>
      <c r="S315" s="346">
        <f t="shared" si="123"/>
        <v>74.400885651035836</v>
      </c>
      <c r="U315" s="319">
        <f t="shared" si="129"/>
        <v>1000000000</v>
      </c>
      <c r="V315" s="319">
        <f t="shared" si="130"/>
        <v>489847556.25</v>
      </c>
      <c r="X315" s="345">
        <f t="shared" si="124"/>
        <v>37.453866741037743</v>
      </c>
      <c r="Y315" s="346">
        <f t="shared" si="125"/>
        <v>-17.26180401463559</v>
      </c>
      <c r="AA315" s="345">
        <f t="shared" si="126"/>
        <v>28.271464727623652</v>
      </c>
      <c r="AB315" s="346">
        <f t="shared" si="127"/>
        <v>-88.337310334328578</v>
      </c>
      <c r="AD315">
        <f t="shared" si="131"/>
        <v>0</v>
      </c>
      <c r="AE315">
        <f t="shared" si="134"/>
        <v>0</v>
      </c>
    </row>
    <row r="316" spans="1:31" x14ac:dyDescent="0.2">
      <c r="A316" s="347">
        <v>22259.75</v>
      </c>
      <c r="B316" s="364">
        <f t="shared" si="128"/>
        <v>22.25975</v>
      </c>
      <c r="C316" s="337">
        <f t="shared" si="109"/>
        <v>44.188496222390022</v>
      </c>
      <c r="D316" s="338">
        <f t="shared" si="110"/>
        <v>1.5481640704287436</v>
      </c>
      <c r="E316" s="338">
        <f t="shared" si="111"/>
        <v>1.0005632101929702</v>
      </c>
      <c r="F316" s="339">
        <f t="shared" si="112"/>
        <v>3.3554313637719532E-2</v>
      </c>
      <c r="G316" s="338">
        <f t="shared" si="113"/>
        <v>1</v>
      </c>
      <c r="H316" s="339">
        <f t="shared" si="114"/>
        <v>0</v>
      </c>
      <c r="I316" s="337">
        <f t="shared" si="115"/>
        <v>4211.0235151642382</v>
      </c>
      <c r="J316" s="340">
        <f t="shared" si="116"/>
        <v>1.5705588548345055</v>
      </c>
      <c r="K316" s="348">
        <f t="shared" si="132"/>
        <v>4.0944017713522909</v>
      </c>
      <c r="L316" s="349">
        <f t="shared" si="133"/>
        <v>1.3240646505459315</v>
      </c>
      <c r="M316" s="337">
        <f t="shared" si="117"/>
        <v>1.001445076199168</v>
      </c>
      <c r="N316" s="340">
        <f t="shared" si="118"/>
        <v>5.3727797982455174E-2</v>
      </c>
      <c r="O316" s="341">
        <f t="shared" si="119"/>
        <v>0.99987602869051995</v>
      </c>
      <c r="P316" s="342">
        <f t="shared" si="120"/>
        <v>2.7261483374775023E-2</v>
      </c>
      <c r="Q316" s="343">
        <f t="shared" si="121"/>
        <v>8.8744526481883383</v>
      </c>
      <c r="R316" s="344">
        <f t="shared" si="122"/>
        <v>-105.54416838180121</v>
      </c>
      <c r="S316" s="346">
        <f t="shared" si="123"/>
        <v>74.455831618198786</v>
      </c>
      <c r="U316" s="319">
        <f t="shared" si="129"/>
        <v>1000000000</v>
      </c>
      <c r="V316" s="319">
        <f t="shared" si="130"/>
        <v>495496470.0625</v>
      </c>
      <c r="X316" s="345">
        <f t="shared" si="124"/>
        <v>37.450737485055718</v>
      </c>
      <c r="Y316" s="346">
        <f t="shared" si="125"/>
        <v>-17.20145366675251</v>
      </c>
      <c r="AA316" s="345">
        <f t="shared" si="126"/>
        <v>28.221762176049381</v>
      </c>
      <c r="AB316" s="346">
        <f t="shared" si="127"/>
        <v>-88.3427147150487</v>
      </c>
      <c r="AD316">
        <f t="shared" si="131"/>
        <v>0</v>
      </c>
      <c r="AE316">
        <f t="shared" si="134"/>
        <v>0</v>
      </c>
    </row>
    <row r="317" spans="1:31" x14ac:dyDescent="0.2">
      <c r="A317" s="347">
        <v>22387</v>
      </c>
      <c r="B317" s="364">
        <f t="shared" si="128"/>
        <v>22.387</v>
      </c>
      <c r="C317" s="337">
        <f t="shared" si="109"/>
        <v>44.440975006547234</v>
      </c>
      <c r="D317" s="338">
        <f t="shared" si="110"/>
        <v>1.5482926709398954</v>
      </c>
      <c r="E317" s="338">
        <f t="shared" si="111"/>
        <v>1.0005696660504411</v>
      </c>
      <c r="F317" s="339">
        <f t="shared" si="112"/>
        <v>3.3745984916621903E-2</v>
      </c>
      <c r="G317" s="338">
        <f t="shared" si="113"/>
        <v>1</v>
      </c>
      <c r="H317" s="339">
        <f t="shared" si="114"/>
        <v>0</v>
      </c>
      <c r="I317" s="337">
        <f t="shared" si="115"/>
        <v>4235.096234407366</v>
      </c>
      <c r="J317" s="340">
        <f t="shared" si="116"/>
        <v>1.5705602046493907</v>
      </c>
      <c r="K317" s="348">
        <f t="shared" si="132"/>
        <v>4.1164153470436053</v>
      </c>
      <c r="L317" s="349">
        <f t="shared" si="133"/>
        <v>1.3254113259915956</v>
      </c>
      <c r="M317" s="337">
        <f t="shared" si="117"/>
        <v>1.001461633166048</v>
      </c>
      <c r="N317" s="340">
        <f t="shared" si="118"/>
        <v>5.4034342304544111E-2</v>
      </c>
      <c r="O317" s="341">
        <f t="shared" si="119"/>
        <v>0.99987460858611354</v>
      </c>
      <c r="P317" s="342">
        <f t="shared" si="120"/>
        <v>2.7417404164723363E-2</v>
      </c>
      <c r="Q317" s="343">
        <f t="shared" si="121"/>
        <v>8.821952612835414</v>
      </c>
      <c r="R317" s="344">
        <f t="shared" si="122"/>
        <v>-105.48997051131386</v>
      </c>
      <c r="S317" s="346">
        <f t="shared" si="123"/>
        <v>74.510029488686143</v>
      </c>
      <c r="U317" s="319">
        <f t="shared" si="129"/>
        <v>1000000000</v>
      </c>
      <c r="V317" s="319">
        <f t="shared" si="130"/>
        <v>501177769</v>
      </c>
      <c r="X317" s="345">
        <f t="shared" si="124"/>
        <v>37.447656193518014</v>
      </c>
      <c r="Y317" s="346">
        <f t="shared" si="125"/>
        <v>-17.141935881859496</v>
      </c>
      <c r="AA317" s="345">
        <f t="shared" si="126"/>
        <v>28.172343432234168</v>
      </c>
      <c r="AB317" s="346">
        <f t="shared" si="127"/>
        <v>-88.348034629454389</v>
      </c>
      <c r="AD317">
        <f t="shared" si="131"/>
        <v>0</v>
      </c>
      <c r="AE317">
        <f t="shared" si="134"/>
        <v>0</v>
      </c>
    </row>
    <row r="318" spans="1:31" x14ac:dyDescent="0.2">
      <c r="A318" s="347">
        <v>22517.5</v>
      </c>
      <c r="B318" s="364">
        <f t="shared" si="128"/>
        <v>22.517499999999998</v>
      </c>
      <c r="C318" s="337">
        <f t="shared" si="109"/>
        <v>44.699902922927905</v>
      </c>
      <c r="D318" s="338">
        <f t="shared" si="110"/>
        <v>1.5484230470615821</v>
      </c>
      <c r="E318" s="338">
        <f t="shared" si="111"/>
        <v>1.000576324970829</v>
      </c>
      <c r="F318" s="339">
        <f t="shared" si="112"/>
        <v>3.3942548956326049E-2</v>
      </c>
      <c r="G318" s="338">
        <f t="shared" si="113"/>
        <v>1</v>
      </c>
      <c r="H318" s="339">
        <f t="shared" si="114"/>
        <v>0</v>
      </c>
      <c r="I318" s="337">
        <f t="shared" si="115"/>
        <v>4259.7837775290664</v>
      </c>
      <c r="J318" s="340">
        <f t="shared" si="116"/>
        <v>1.5705615730934388</v>
      </c>
      <c r="K318" s="348">
        <f t="shared" si="132"/>
        <v>4.13899882566841</v>
      </c>
      <c r="L318" s="349">
        <f t="shared" si="133"/>
        <v>1.326777515101917</v>
      </c>
      <c r="M318" s="337">
        <f t="shared" si="117"/>
        <v>1.0014787107418701</v>
      </c>
      <c r="N318" s="340">
        <f t="shared" si="118"/>
        <v>5.4348705294990286E-2</v>
      </c>
      <c r="O318" s="341">
        <f t="shared" si="119"/>
        <v>0.99987314383576831</v>
      </c>
      <c r="P318" s="342">
        <f t="shared" si="120"/>
        <v>2.7577308598145531E-2</v>
      </c>
      <c r="Q318" s="343">
        <f t="shared" si="121"/>
        <v>8.7684518472241084</v>
      </c>
      <c r="R318" s="344">
        <f t="shared" si="122"/>
        <v>-105.43515328067261</v>
      </c>
      <c r="S318" s="346">
        <f t="shared" si="123"/>
        <v>74.564846719327392</v>
      </c>
      <c r="U318" s="319">
        <f t="shared" si="129"/>
        <v>1000000000</v>
      </c>
      <c r="V318" s="319">
        <f t="shared" si="130"/>
        <v>507037806.25</v>
      </c>
      <c r="X318" s="345">
        <f t="shared" si="124"/>
        <v>37.44454492685756</v>
      </c>
      <c r="Y318" s="346">
        <f t="shared" si="125"/>
        <v>-17.081749090408703</v>
      </c>
      <c r="AA318" s="345">
        <f t="shared" si="126"/>
        <v>28.121953933283308</v>
      </c>
      <c r="AB318" s="346">
        <f t="shared" si="127"/>
        <v>-88.353404190263888</v>
      </c>
      <c r="AD318">
        <f t="shared" si="131"/>
        <v>0</v>
      </c>
      <c r="AE318">
        <f t="shared" si="134"/>
        <v>0</v>
      </c>
    </row>
    <row r="319" spans="1:31" x14ac:dyDescent="0.2">
      <c r="A319" s="347">
        <v>22648</v>
      </c>
      <c r="B319" s="364">
        <f t="shared" si="128"/>
        <v>22.648</v>
      </c>
      <c r="C319" s="337">
        <f t="shared" si="109"/>
        <v>44.958831590362735</v>
      </c>
      <c r="D319" s="338">
        <f t="shared" si="110"/>
        <v>1.5485519214508843</v>
      </c>
      <c r="E319" s="338">
        <f t="shared" si="111"/>
        <v>1.0005830225503909</v>
      </c>
      <c r="F319" s="339">
        <f t="shared" si="112"/>
        <v>3.4139110372152358E-2</v>
      </c>
      <c r="G319" s="338">
        <f t="shared" si="113"/>
        <v>1</v>
      </c>
      <c r="H319" s="339">
        <f t="shared" si="114"/>
        <v>0</v>
      </c>
      <c r="I319" s="337">
        <f t="shared" si="115"/>
        <v>4284.4713206586521</v>
      </c>
      <c r="J319" s="340">
        <f t="shared" si="116"/>
        <v>1.5705629257672697</v>
      </c>
      <c r="K319" s="348">
        <f t="shared" si="132"/>
        <v>4.1615899457678545</v>
      </c>
      <c r="L319" s="349">
        <f t="shared" si="133"/>
        <v>1.3281288740431398</v>
      </c>
      <c r="M319" s="337">
        <f t="shared" si="117"/>
        <v>1.0014958872845334</v>
      </c>
      <c r="N319" s="340">
        <f t="shared" si="118"/>
        <v>5.466305753329298E-2</v>
      </c>
      <c r="O319" s="341">
        <f t="shared" si="119"/>
        <v>0.99987167060428328</v>
      </c>
      <c r="P319" s="342">
        <f t="shared" si="120"/>
        <v>2.7737214440722739E-2</v>
      </c>
      <c r="Q319" s="343">
        <f t="shared" si="121"/>
        <v>8.7152910441210807</v>
      </c>
      <c r="R319" s="344">
        <f t="shared" si="122"/>
        <v>-105.38109842465983</v>
      </c>
      <c r="S319" s="346">
        <f t="shared" si="123"/>
        <v>74.618901575340175</v>
      </c>
      <c r="U319" s="319">
        <f t="shared" si="129"/>
        <v>1000000000</v>
      </c>
      <c r="V319" s="319">
        <f t="shared" si="130"/>
        <v>512931904</v>
      </c>
      <c r="X319" s="345">
        <f t="shared" si="124"/>
        <v>37.441481907475904</v>
      </c>
      <c r="Y319" s="346">
        <f t="shared" si="125"/>
        <v>-17.022410485438368</v>
      </c>
      <c r="AA319" s="345">
        <f t="shared" si="126"/>
        <v>28.071856149561935</v>
      </c>
      <c r="AB319" s="346">
        <f t="shared" si="127"/>
        <v>-88.358687939221454</v>
      </c>
      <c r="AD319">
        <f t="shared" si="131"/>
        <v>0</v>
      </c>
      <c r="AE319">
        <f t="shared" si="134"/>
        <v>0</v>
      </c>
    </row>
    <row r="320" spans="1:31" x14ac:dyDescent="0.2">
      <c r="A320" s="347">
        <v>22778.5</v>
      </c>
      <c r="B320" s="364">
        <f t="shared" si="128"/>
        <v>22.778500000000001</v>
      </c>
      <c r="C320" s="337">
        <f t="shared" si="109"/>
        <v>45.217760995949547</v>
      </c>
      <c r="D320" s="338">
        <f t="shared" si="110"/>
        <v>1.5486793199014888</v>
      </c>
      <c r="E320" s="338">
        <f t="shared" si="111"/>
        <v>1.0005897587883505</v>
      </c>
      <c r="F320" s="339">
        <f t="shared" si="112"/>
        <v>3.4335669148964819E-2</v>
      </c>
      <c r="G320" s="338">
        <f t="shared" si="113"/>
        <v>1</v>
      </c>
      <c r="H320" s="339">
        <f t="shared" si="114"/>
        <v>0</v>
      </c>
      <c r="I320" s="337">
        <f t="shared" si="115"/>
        <v>4309.1588637959876</v>
      </c>
      <c r="J320" s="340">
        <f t="shared" si="116"/>
        <v>1.5705642629419305</v>
      </c>
      <c r="K320" s="348">
        <f t="shared" si="132"/>
        <v>4.184188583569215</v>
      </c>
      <c r="L320" s="349">
        <f t="shared" si="133"/>
        <v>1.3294656381307262</v>
      </c>
      <c r="M320" s="337">
        <f t="shared" si="117"/>
        <v>1.0015131627889455</v>
      </c>
      <c r="N320" s="340">
        <f t="shared" si="118"/>
        <v>5.4977398957880119E-2</v>
      </c>
      <c r="O320" s="341">
        <f t="shared" si="119"/>
        <v>0.99987018889222312</v>
      </c>
      <c r="P320" s="342">
        <f t="shared" si="120"/>
        <v>2.7897121700618942E-2</v>
      </c>
      <c r="Q320" s="343">
        <f t="shared" si="121"/>
        <v>8.6624657923392085</v>
      </c>
      <c r="R320" s="344">
        <f t="shared" si="122"/>
        <v>-105.32779395189915</v>
      </c>
      <c r="S320" s="346">
        <f t="shared" si="123"/>
        <v>74.672206048100847</v>
      </c>
      <c r="U320" s="319">
        <f t="shared" si="129"/>
        <v>1000000000</v>
      </c>
      <c r="V320" s="319">
        <f t="shared" si="130"/>
        <v>518860062.25</v>
      </c>
      <c r="X320" s="345">
        <f t="shared" si="124"/>
        <v>37.438466066688719</v>
      </c>
      <c r="Y320" s="346">
        <f t="shared" si="125"/>
        <v>-16.963906596367675</v>
      </c>
      <c r="AA320" s="345">
        <f t="shared" si="126"/>
        <v>28.022046738567251</v>
      </c>
      <c r="AB320" s="346">
        <f t="shared" si="127"/>
        <v>-88.363887355531489</v>
      </c>
      <c r="AD320">
        <f t="shared" si="131"/>
        <v>0</v>
      </c>
      <c r="AE320">
        <f t="shared" si="134"/>
        <v>0</v>
      </c>
    </row>
    <row r="321" spans="1:31" x14ac:dyDescent="0.2">
      <c r="A321" s="347">
        <v>22909</v>
      </c>
      <c r="B321" s="364">
        <f t="shared" si="128"/>
        <v>22.908999999999999</v>
      </c>
      <c r="C321" s="337">
        <f t="shared" si="109"/>
        <v>45.476691127079938</v>
      </c>
      <c r="D321" s="338">
        <f t="shared" si="110"/>
        <v>1.5488052676198321</v>
      </c>
      <c r="E321" s="338">
        <f t="shared" si="111"/>
        <v>1.0005965336839271</v>
      </c>
      <c r="F321" s="339">
        <f t="shared" si="112"/>
        <v>3.4532225271628664E-2</v>
      </c>
      <c r="G321" s="338">
        <f t="shared" si="113"/>
        <v>1</v>
      </c>
      <c r="H321" s="339">
        <f t="shared" si="114"/>
        <v>0</v>
      </c>
      <c r="I321" s="337">
        <f t="shared" si="115"/>
        <v>4333.8464069409392</v>
      </c>
      <c r="J321" s="340">
        <f t="shared" si="116"/>
        <v>1.5705655848822917</v>
      </c>
      <c r="K321" s="348">
        <f t="shared" si="132"/>
        <v>4.2067946179186215</v>
      </c>
      <c r="L321" s="349">
        <f t="shared" si="133"/>
        <v>1.3307880378332579</v>
      </c>
      <c r="M321" s="337">
        <f t="shared" si="117"/>
        <v>1.0015305372499856</v>
      </c>
      <c r="N321" s="340">
        <f t="shared" si="118"/>
        <v>5.5291729507192404E-2</v>
      </c>
      <c r="O321" s="341">
        <f t="shared" si="119"/>
        <v>0.99986869870015616</v>
      </c>
      <c r="P321" s="342">
        <f t="shared" si="120"/>
        <v>2.8057030385998046E-2</v>
      </c>
      <c r="Q321" s="343">
        <f t="shared" si="121"/>
        <v>8.6099717665134179</v>
      </c>
      <c r="R321" s="344">
        <f t="shared" si="122"/>
        <v>-105.27522811471977</v>
      </c>
      <c r="S321" s="346">
        <f t="shared" si="123"/>
        <v>74.724771885280234</v>
      </c>
      <c r="U321" s="319">
        <f t="shared" si="129"/>
        <v>1000000000</v>
      </c>
      <c r="V321" s="319">
        <f t="shared" si="130"/>
        <v>524822281</v>
      </c>
      <c r="X321" s="345">
        <f t="shared" si="124"/>
        <v>37.435496364461628</v>
      </c>
      <c r="Y321" s="346">
        <f t="shared" si="125"/>
        <v>-16.906224229968423</v>
      </c>
      <c r="AA321" s="345">
        <f t="shared" si="126"/>
        <v>27.972522414968548</v>
      </c>
      <c r="AB321" s="346">
        <f t="shared" si="127"/>
        <v>-88.369003884751322</v>
      </c>
      <c r="AD321">
        <f t="shared" si="131"/>
        <v>0</v>
      </c>
      <c r="AE321">
        <f t="shared" si="134"/>
        <v>0</v>
      </c>
    </row>
    <row r="322" spans="1:31" x14ac:dyDescent="0.2">
      <c r="A322" s="347">
        <v>23042.25</v>
      </c>
      <c r="B322" s="364">
        <f t="shared" si="128"/>
        <v>23.042249999999999</v>
      </c>
      <c r="C322" s="337">
        <f t="shared" si="109"/>
        <v>45.741078376119546</v>
      </c>
      <c r="D322" s="338">
        <f t="shared" si="110"/>
        <v>1.5489323980935119</v>
      </c>
      <c r="E322" s="338">
        <f t="shared" si="111"/>
        <v>1.0006034912328228</v>
      </c>
      <c r="F322" s="339">
        <f t="shared" si="112"/>
        <v>3.4732920627193312E-2</v>
      </c>
      <c r="G322" s="338">
        <f t="shared" si="113"/>
        <v>1</v>
      </c>
      <c r="H322" s="339">
        <f t="shared" si="114"/>
        <v>0</v>
      </c>
      <c r="I322" s="337">
        <f t="shared" si="115"/>
        <v>4359.0541856771315</v>
      </c>
      <c r="J322" s="340">
        <f t="shared" si="116"/>
        <v>1.5705669192293616</v>
      </c>
      <c r="K322" s="348">
        <f t="shared" si="132"/>
        <v>4.2298845334045474</v>
      </c>
      <c r="L322" s="349">
        <f t="shared" si="133"/>
        <v>1.3321237171146114</v>
      </c>
      <c r="M322" s="337">
        <f t="shared" si="117"/>
        <v>1.0015483799407026</v>
      </c>
      <c r="N322" s="340">
        <f t="shared" si="118"/>
        <v>5.561267259494105E-2</v>
      </c>
      <c r="O322" s="341">
        <f t="shared" si="119"/>
        <v>0.99986716835623224</v>
      </c>
      <c r="P322" s="342">
        <f t="shared" si="120"/>
        <v>2.8220310273972923E-2</v>
      </c>
      <c r="Q322" s="343">
        <f t="shared" si="121"/>
        <v>8.5567089069634541</v>
      </c>
      <c r="R322" s="344">
        <f t="shared" si="122"/>
        <v>-105.22230475711001</v>
      </c>
      <c r="S322" s="346">
        <f t="shared" si="123"/>
        <v>74.77769524288999</v>
      </c>
      <c r="U322" s="319">
        <f t="shared" si="129"/>
        <v>1000000000</v>
      </c>
      <c r="V322" s="319">
        <f t="shared" si="130"/>
        <v>530945285.0625</v>
      </c>
      <c r="X322" s="345">
        <f t="shared" si="124"/>
        <v>37.432510637805706</v>
      </c>
      <c r="Y322" s="346">
        <f t="shared" si="125"/>
        <v>-16.848160581144864</v>
      </c>
      <c r="AA322" s="345">
        <f t="shared" si="126"/>
        <v>27.922245282074506</v>
      </c>
      <c r="AB322" s="346">
        <f t="shared" si="127"/>
        <v>-88.374144175965156</v>
      </c>
      <c r="AD322">
        <f t="shared" si="131"/>
        <v>0</v>
      </c>
      <c r="AE322">
        <f t="shared" si="134"/>
        <v>0</v>
      </c>
    </row>
    <row r="323" spans="1:31" x14ac:dyDescent="0.2">
      <c r="A323" s="347">
        <v>23175.5</v>
      </c>
      <c r="B323" s="364">
        <f t="shared" si="128"/>
        <v>23.1755</v>
      </c>
      <c r="C323" s="337">
        <f t="shared" si="109"/>
        <v>46.005466355936647</v>
      </c>
      <c r="D323" s="338">
        <f t="shared" si="110"/>
        <v>1.5490580673615788</v>
      </c>
      <c r="E323" s="338">
        <f t="shared" si="111"/>
        <v>1.0006104890840903</v>
      </c>
      <c r="F323" s="339">
        <f t="shared" si="112"/>
        <v>3.4933613183682738E-2</v>
      </c>
      <c r="G323" s="338">
        <f t="shared" si="113"/>
        <v>1</v>
      </c>
      <c r="H323" s="339">
        <f t="shared" si="114"/>
        <v>0</v>
      </c>
      <c r="I323" s="337">
        <f t="shared" si="115"/>
        <v>4384.2619644209963</v>
      </c>
      <c r="J323" s="340">
        <f t="shared" si="116"/>
        <v>1.5705682382324919</v>
      </c>
      <c r="K323" s="348">
        <f t="shared" si="132"/>
        <v>4.2529819132230511</v>
      </c>
      <c r="L323" s="349">
        <f t="shared" si="133"/>
        <v>1.3334448909382064</v>
      </c>
      <c r="M323" s="337">
        <f t="shared" si="117"/>
        <v>1.0015663257916931</v>
      </c>
      <c r="N323" s="340">
        <f t="shared" si="118"/>
        <v>5.5933604214567029E-2</v>
      </c>
      <c r="O323" s="341">
        <f t="shared" si="119"/>
        <v>0.99986562917234845</v>
      </c>
      <c r="P323" s="342">
        <f t="shared" si="120"/>
        <v>2.838359166534395E-2</v>
      </c>
      <c r="Q323" s="343">
        <f t="shared" si="121"/>
        <v>8.5037825301101968</v>
      </c>
      <c r="R323" s="344">
        <f t="shared" si="122"/>
        <v>-105.17012749039141</v>
      </c>
      <c r="S323" s="346">
        <f t="shared" si="123"/>
        <v>74.829872509608592</v>
      </c>
      <c r="U323" s="319">
        <f t="shared" si="129"/>
        <v>1000000000</v>
      </c>
      <c r="V323" s="319">
        <f t="shared" si="130"/>
        <v>537103800.25</v>
      </c>
      <c r="X323" s="345">
        <f t="shared" si="124"/>
        <v>37.429570910676325</v>
      </c>
      <c r="Y323" s="346">
        <f t="shared" si="125"/>
        <v>-16.790926497613704</v>
      </c>
      <c r="AA323" s="345">
        <f t="shared" si="126"/>
        <v>27.872258632350633</v>
      </c>
      <c r="AB323" s="346">
        <f t="shared" si="127"/>
        <v>-88.379200992777712</v>
      </c>
      <c r="AD323">
        <f t="shared" si="131"/>
        <v>0</v>
      </c>
      <c r="AE323">
        <f t="shared" si="134"/>
        <v>0</v>
      </c>
    </row>
    <row r="324" spans="1:31" x14ac:dyDescent="0.2">
      <c r="A324" s="347">
        <v>23308.75</v>
      </c>
      <c r="B324" s="364">
        <f t="shared" si="128"/>
        <v>23.30875</v>
      </c>
      <c r="C324" s="337">
        <f t="shared" si="109"/>
        <v>46.269855054004125</v>
      </c>
      <c r="D324" s="338">
        <f t="shared" si="110"/>
        <v>1.5491823004682754</v>
      </c>
      <c r="E324" s="338">
        <f t="shared" si="111"/>
        <v>1.0006175272368847</v>
      </c>
      <c r="F324" s="339">
        <f t="shared" si="112"/>
        <v>3.5134302924989036E-2</v>
      </c>
      <c r="G324" s="338">
        <f t="shared" si="113"/>
        <v>1</v>
      </c>
      <c r="H324" s="339">
        <f t="shared" si="114"/>
        <v>0</v>
      </c>
      <c r="I324" s="337">
        <f t="shared" si="115"/>
        <v>4409.4697431724007</v>
      </c>
      <c r="J324" s="340">
        <f t="shared" si="116"/>
        <v>1.570569542154834</v>
      </c>
      <c r="K324" s="348">
        <f t="shared" si="132"/>
        <v>4.2760866364178431</v>
      </c>
      <c r="L324" s="349">
        <f t="shared" si="133"/>
        <v>1.3347517897834791</v>
      </c>
      <c r="M324" s="337">
        <f t="shared" si="117"/>
        <v>1.0015843747974125</v>
      </c>
      <c r="N324" s="340">
        <f t="shared" si="118"/>
        <v>5.6254524300578521E-2</v>
      </c>
      <c r="O324" s="341">
        <f t="shared" si="119"/>
        <v>0.99986408114911995</v>
      </c>
      <c r="P324" s="342">
        <f t="shared" si="120"/>
        <v>2.8546874568801929E-2</v>
      </c>
      <c r="Q324" s="343">
        <f t="shared" si="121"/>
        <v>8.4511882942735692</v>
      </c>
      <c r="R324" s="344">
        <f t="shared" si="122"/>
        <v>-105.11868455674031</v>
      </c>
      <c r="S324" s="346">
        <f t="shared" si="123"/>
        <v>74.881315443259695</v>
      </c>
      <c r="U324" s="319">
        <f t="shared" si="129"/>
        <v>1000000000</v>
      </c>
      <c r="V324" s="319">
        <f t="shared" si="130"/>
        <v>543297826.5625</v>
      </c>
      <c r="X324" s="345">
        <f t="shared" si="124"/>
        <v>37.426676162589565</v>
      </c>
      <c r="Y324" s="346">
        <f t="shared" si="125"/>
        <v>-16.73450878520104</v>
      </c>
      <c r="AA324" s="345">
        <f t="shared" si="126"/>
        <v>27.822559144600763</v>
      </c>
      <c r="AB324" s="346">
        <f t="shared" si="127"/>
        <v>-88.384175771539276</v>
      </c>
      <c r="AD324">
        <f t="shared" si="131"/>
        <v>0</v>
      </c>
      <c r="AE324">
        <f t="shared" si="134"/>
        <v>0</v>
      </c>
    </row>
    <row r="325" spans="1:31" x14ac:dyDescent="0.2">
      <c r="A325" s="347">
        <v>23442</v>
      </c>
      <c r="B325" s="364">
        <f t="shared" si="128"/>
        <v>23.442</v>
      </c>
      <c r="C325" s="337">
        <f t="shared" si="109"/>
        <v>46.534244458079577</v>
      </c>
      <c r="D325" s="338">
        <f t="shared" si="110"/>
        <v>1.5493051218888585</v>
      </c>
      <c r="E325" s="338">
        <f t="shared" si="111"/>
        <v>1.0006246056903552</v>
      </c>
      <c r="F325" s="339">
        <f t="shared" si="112"/>
        <v>3.5334989835005673E-2</v>
      </c>
      <c r="G325" s="338">
        <f t="shared" si="113"/>
        <v>1</v>
      </c>
      <c r="H325" s="339">
        <f t="shared" si="114"/>
        <v>0</v>
      </c>
      <c r="I325" s="337">
        <f t="shared" si="115"/>
        <v>4434.6775219312158</v>
      </c>
      <c r="J325" s="340">
        <f t="shared" si="116"/>
        <v>1.5705708312535569</v>
      </c>
      <c r="K325" s="348">
        <f t="shared" si="132"/>
        <v>4.2991985845947616</v>
      </c>
      <c r="L325" s="349">
        <f t="shared" si="133"/>
        <v>1.3360446393711762</v>
      </c>
      <c r="M325" s="337">
        <f t="shared" si="117"/>
        <v>1.0016025269522837</v>
      </c>
      <c r="N325" s="340">
        <f t="shared" si="118"/>
        <v>5.6575432787497902E-2</v>
      </c>
      <c r="O325" s="341">
        <f t="shared" si="119"/>
        <v>0.99986252428716582</v>
      </c>
      <c r="P325" s="342">
        <f t="shared" si="120"/>
        <v>2.8710158993037613E-2</v>
      </c>
      <c r="Q325" s="343">
        <f t="shared" si="121"/>
        <v>8.3989219418317607</v>
      </c>
      <c r="R325" s="344">
        <f t="shared" si="122"/>
        <v>-105.06796443804333</v>
      </c>
      <c r="S325" s="346">
        <f t="shared" si="123"/>
        <v>74.932035561956667</v>
      </c>
      <c r="U325" s="319">
        <f t="shared" si="129"/>
        <v>1000000000</v>
      </c>
      <c r="V325" s="319">
        <f t="shared" si="130"/>
        <v>549527364</v>
      </c>
      <c r="X325" s="345">
        <f t="shared" si="124"/>
        <v>37.423825400429294</v>
      </c>
      <c r="Y325" s="346">
        <f t="shared" si="125"/>
        <v>-16.678894522043823</v>
      </c>
      <c r="AA325" s="345">
        <f t="shared" si="126"/>
        <v>27.773143554319226</v>
      </c>
      <c r="AB325" s="346">
        <f t="shared" si="127"/>
        <v>-88.389069915999528</v>
      </c>
      <c r="AD325">
        <f t="shared" si="131"/>
        <v>0</v>
      </c>
      <c r="AE325">
        <f t="shared" si="134"/>
        <v>0</v>
      </c>
    </row>
    <row r="326" spans="1:31" x14ac:dyDescent="0.2">
      <c r="A326" s="347">
        <v>23578.5</v>
      </c>
      <c r="B326" s="364">
        <f t="shared" si="128"/>
        <v>23.578499999999998</v>
      </c>
      <c r="C326" s="337">
        <f t="shared" si="109"/>
        <v>46.805083103746895</v>
      </c>
      <c r="D326" s="338">
        <f t="shared" si="110"/>
        <v>1.5494295002036618</v>
      </c>
      <c r="E326" s="338">
        <f t="shared" si="111"/>
        <v>1.0006318985752163</v>
      </c>
      <c r="F326" s="339">
        <f t="shared" si="112"/>
        <v>3.5540568595155149E-2</v>
      </c>
      <c r="G326" s="338">
        <f t="shared" si="113"/>
        <v>1</v>
      </c>
      <c r="H326" s="339">
        <f t="shared" si="114"/>
        <v>0</v>
      </c>
      <c r="I326" s="337">
        <f t="shared" si="115"/>
        <v>4460.5001245697522</v>
      </c>
      <c r="J326" s="340">
        <f t="shared" si="116"/>
        <v>1.5705721366860637</v>
      </c>
      <c r="K326" s="348">
        <f t="shared" si="132"/>
        <v>4.3228816091498983</v>
      </c>
      <c r="L326" s="349">
        <f t="shared" si="133"/>
        <v>1.3373546855124196</v>
      </c>
      <c r="M326" s="337">
        <f t="shared" si="117"/>
        <v>1.0016212287903599</v>
      </c>
      <c r="N326" s="340">
        <f t="shared" si="118"/>
        <v>5.6904156215354842E-2</v>
      </c>
      <c r="O326" s="341">
        <f t="shared" si="119"/>
        <v>0.99986092028889706</v>
      </c>
      <c r="P326" s="342">
        <f t="shared" si="120"/>
        <v>2.8877427550158635E-2</v>
      </c>
      <c r="Q326" s="343">
        <f t="shared" si="121"/>
        <v>8.3457164125453414</v>
      </c>
      <c r="R326" s="344">
        <f t="shared" si="122"/>
        <v>-105.01674492349586</v>
      </c>
      <c r="S326" s="346">
        <f t="shared" si="123"/>
        <v>74.983255076504136</v>
      </c>
      <c r="U326" s="319">
        <f t="shared" si="129"/>
        <v>1000000000</v>
      </c>
      <c r="V326" s="319">
        <f t="shared" si="130"/>
        <v>555945662.25</v>
      </c>
      <c r="X326" s="345">
        <f t="shared" si="124"/>
        <v>37.420949705483643</v>
      </c>
      <c r="Y326" s="346">
        <f t="shared" si="125"/>
        <v>-16.622743667935371</v>
      </c>
      <c r="AA326" s="345">
        <f t="shared" si="126"/>
        <v>27.722813719978458</v>
      </c>
      <c r="AB326" s="346">
        <f t="shared" si="127"/>
        <v>-88.394001255560525</v>
      </c>
      <c r="AD326">
        <f t="shared" si="131"/>
        <v>0</v>
      </c>
      <c r="AE326">
        <f t="shared" si="134"/>
        <v>0</v>
      </c>
    </row>
    <row r="327" spans="1:31" x14ac:dyDescent="0.2">
      <c r="A327" s="347">
        <v>23715</v>
      </c>
      <c r="B327" s="364">
        <f t="shared" si="128"/>
        <v>23.715</v>
      </c>
      <c r="C327" s="337">
        <f t="shared" si="109"/>
        <v>47.075922465155706</v>
      </c>
      <c r="D327" s="338">
        <f t="shared" si="110"/>
        <v>1.5495524473622708</v>
      </c>
      <c r="E327" s="338">
        <f t="shared" si="111"/>
        <v>1.0006392337487924</v>
      </c>
      <c r="F327" s="339">
        <f t="shared" si="112"/>
        <v>3.5746144350007558E-2</v>
      </c>
      <c r="G327" s="338">
        <f t="shared" si="113"/>
        <v>1</v>
      </c>
      <c r="H327" s="339">
        <f t="shared" si="114"/>
        <v>0</v>
      </c>
      <c r="I327" s="337">
        <f t="shared" si="115"/>
        <v>4486.3227272158028</v>
      </c>
      <c r="J327" s="340">
        <f t="shared" si="116"/>
        <v>1.5705734270908218</v>
      </c>
      <c r="K327" s="348">
        <f t="shared" si="132"/>
        <v>4.3465719718698468</v>
      </c>
      <c r="L327" s="349">
        <f t="shared" si="133"/>
        <v>1.3386504534227894</v>
      </c>
      <c r="M327" s="337">
        <f t="shared" si="117"/>
        <v>1.0016400388586677</v>
      </c>
      <c r="N327" s="340">
        <f t="shared" si="118"/>
        <v>5.7232867332359168E-2</v>
      </c>
      <c r="O327" s="341">
        <f t="shared" si="119"/>
        <v>0.99985930701681347</v>
      </c>
      <c r="P327" s="342">
        <f t="shared" si="120"/>
        <v>2.9044697721608306E-2</v>
      </c>
      <c r="Q327" s="343">
        <f t="shared" si="121"/>
        <v>8.2928461725338938</v>
      </c>
      <c r="R327" s="344">
        <f t="shared" si="122"/>
        <v>-104.96626019040609</v>
      </c>
      <c r="S327" s="346">
        <f t="shared" si="123"/>
        <v>75.033739809593911</v>
      </c>
      <c r="U327" s="319">
        <f t="shared" si="129"/>
        <v>1000000000</v>
      </c>
      <c r="V327" s="319">
        <f t="shared" si="130"/>
        <v>562401225</v>
      </c>
      <c r="X327" s="345">
        <f t="shared" si="124"/>
        <v>37.41811814288257</v>
      </c>
      <c r="Y327" s="346">
        <f t="shared" si="125"/>
        <v>-16.567409329809351</v>
      </c>
      <c r="AA327" s="345">
        <f t="shared" si="126"/>
        <v>27.672775042568084</v>
      </c>
      <c r="AB327" s="346">
        <f t="shared" si="127"/>
        <v>-88.398850860596724</v>
      </c>
      <c r="AD327">
        <f t="shared" si="131"/>
        <v>0</v>
      </c>
      <c r="AE327">
        <f t="shared" si="134"/>
        <v>0</v>
      </c>
    </row>
    <row r="328" spans="1:31" x14ac:dyDescent="0.2">
      <c r="A328" s="347">
        <v>23851.5</v>
      </c>
      <c r="B328" s="364">
        <f t="shared" si="128"/>
        <v>23.851500000000001</v>
      </c>
      <c r="C328" s="337">
        <f t="shared" si="109"/>
        <v>47.346762530023142</v>
      </c>
      <c r="D328" s="338">
        <f t="shared" si="110"/>
        <v>1.5496739879210808</v>
      </c>
      <c r="E328" s="338">
        <f t="shared" si="111"/>
        <v>1.0006466112101533</v>
      </c>
      <c r="F328" s="339">
        <f t="shared" si="112"/>
        <v>3.595171708225333E-2</v>
      </c>
      <c r="G328" s="338">
        <f t="shared" si="113"/>
        <v>1</v>
      </c>
      <c r="H328" s="339">
        <f t="shared" si="114"/>
        <v>0</v>
      </c>
      <c r="I328" s="337">
        <f t="shared" si="115"/>
        <v>4512.1453298692377</v>
      </c>
      <c r="J328" s="340">
        <f t="shared" si="116"/>
        <v>1.5705747027258388</v>
      </c>
      <c r="K328" s="348">
        <f t="shared" si="132"/>
        <v>4.3702695534184093</v>
      </c>
      <c r="L328" s="349">
        <f t="shared" si="133"/>
        <v>1.3399321709844154</v>
      </c>
      <c r="M328" s="337">
        <f t="shared" si="117"/>
        <v>1.0016589571511105</v>
      </c>
      <c r="N328" s="340">
        <f t="shared" si="118"/>
        <v>5.756156606817131E-2</v>
      </c>
      <c r="O328" s="341">
        <f t="shared" si="119"/>
        <v>0.99985768447159173</v>
      </c>
      <c r="P328" s="342">
        <f t="shared" si="120"/>
        <v>2.9211969516728768E-2</v>
      </c>
      <c r="Q328" s="343">
        <f t="shared" si="121"/>
        <v>8.2403069054879126</v>
      </c>
      <c r="R328" s="344">
        <f t="shared" si="122"/>
        <v>-104.91649860134702</v>
      </c>
      <c r="S328" s="346">
        <f t="shared" si="123"/>
        <v>75.083501398652984</v>
      </c>
      <c r="U328" s="319">
        <f t="shared" si="129"/>
        <v>1000000000</v>
      </c>
      <c r="V328" s="319">
        <f t="shared" si="130"/>
        <v>568894052.25</v>
      </c>
      <c r="X328" s="345">
        <f t="shared" si="124"/>
        <v>37.415329728806938</v>
      </c>
      <c r="Y328" s="346">
        <f t="shared" si="125"/>
        <v>-16.512878461734068</v>
      </c>
      <c r="AA328" s="345">
        <f t="shared" si="126"/>
        <v>27.623024189597732</v>
      </c>
      <c r="AB328" s="346">
        <f t="shared" si="127"/>
        <v>-88.403620139612968</v>
      </c>
      <c r="AD328">
        <f t="shared" si="131"/>
        <v>0</v>
      </c>
      <c r="AE328">
        <f t="shared" si="134"/>
        <v>0</v>
      </c>
    </row>
    <row r="329" spans="1:31" x14ac:dyDescent="0.2">
      <c r="A329" s="347">
        <v>23988</v>
      </c>
      <c r="B329" s="364">
        <f t="shared" si="128"/>
        <v>23.988</v>
      </c>
      <c r="C329" s="337">
        <f t="shared" si="109"/>
        <v>47.617603286345798</v>
      </c>
      <c r="D329" s="338">
        <f t="shared" si="110"/>
        <v>1.5497941458779645</v>
      </c>
      <c r="E329" s="338">
        <f t="shared" si="111"/>
        <v>1.0006540309583636</v>
      </c>
      <c r="F329" s="339">
        <f t="shared" si="112"/>
        <v>3.615728677458447E-2</v>
      </c>
      <c r="G329" s="338">
        <f t="shared" si="113"/>
        <v>1</v>
      </c>
      <c r="H329" s="339">
        <f t="shared" si="114"/>
        <v>0</v>
      </c>
      <c r="I329" s="337">
        <f t="shared" si="115"/>
        <v>4537.9679325299321</v>
      </c>
      <c r="J329" s="340">
        <f t="shared" si="116"/>
        <v>1.5705759638432493</v>
      </c>
      <c r="K329" s="348">
        <f t="shared" si="132"/>
        <v>4.3939742369978285</v>
      </c>
      <c r="L329" s="349">
        <f t="shared" si="133"/>
        <v>1.3412000613488091</v>
      </c>
      <c r="M329" s="337">
        <f t="shared" si="117"/>
        <v>1.0016779836615559</v>
      </c>
      <c r="N329" s="340">
        <f t="shared" si="118"/>
        <v>5.7890252352467704E-2</v>
      </c>
      <c r="O329" s="341">
        <f t="shared" si="119"/>
        <v>0.99985605265391309</v>
      </c>
      <c r="P329" s="342">
        <f t="shared" si="120"/>
        <v>2.937924294486206E-2</v>
      </c>
      <c r="Q329" s="343">
        <f t="shared" si="121"/>
        <v>8.1880943785235178</v>
      </c>
      <c r="R329" s="344">
        <f t="shared" si="122"/>
        <v>-104.86744875759973</v>
      </c>
      <c r="S329" s="346">
        <f t="shared" si="123"/>
        <v>75.132551242400268</v>
      </c>
      <c r="U329" s="319">
        <f t="shared" si="129"/>
        <v>1000000000</v>
      </c>
      <c r="V329" s="319">
        <f t="shared" si="130"/>
        <v>575424144</v>
      </c>
      <c r="X329" s="345">
        <f t="shared" si="124"/>
        <v>37.412583505913915</v>
      </c>
      <c r="Y329" s="346">
        <f t="shared" si="125"/>
        <v>-16.459138288486709</v>
      </c>
      <c r="AA329" s="345">
        <f t="shared" si="126"/>
        <v>27.573557885526363</v>
      </c>
      <c r="AB329" s="346">
        <f t="shared" si="127"/>
        <v>-88.408310469113019</v>
      </c>
      <c r="AD329">
        <f t="shared" si="131"/>
        <v>0</v>
      </c>
      <c r="AE329">
        <f t="shared" si="134"/>
        <v>0</v>
      </c>
    </row>
    <row r="330" spans="1:31" x14ac:dyDescent="0.2">
      <c r="A330" s="347">
        <v>24127.75</v>
      </c>
      <c r="B330" s="364">
        <f t="shared" si="128"/>
        <v>24.127749999999999</v>
      </c>
      <c r="C330" s="337">
        <f t="shared" si="109"/>
        <v>47.89489333620169</v>
      </c>
      <c r="D330" s="338">
        <f t="shared" si="110"/>
        <v>1.5499157568551496</v>
      </c>
      <c r="E330" s="338">
        <f t="shared" si="111"/>
        <v>1.0006616711753438</v>
      </c>
      <c r="F330" s="339">
        <f t="shared" si="112"/>
        <v>3.6367747815983224E-2</v>
      </c>
      <c r="G330" s="338">
        <f t="shared" si="113"/>
        <v>1</v>
      </c>
      <c r="H330" s="339">
        <f t="shared" si="114"/>
        <v>0</v>
      </c>
      <c r="I330" s="337">
        <f t="shared" si="115"/>
        <v>4564.4053590708909</v>
      </c>
      <c r="J330" s="340">
        <f t="shared" si="116"/>
        <v>1.5705772402043481</v>
      </c>
      <c r="K330" s="348">
        <f t="shared" si="132"/>
        <v>4.4182505561272647</v>
      </c>
      <c r="L330" s="349">
        <f t="shared" si="133"/>
        <v>1.3424840428102971</v>
      </c>
      <c r="M330" s="337">
        <f t="shared" si="117"/>
        <v>1.0016975752913204</v>
      </c>
      <c r="N330" s="340">
        <f t="shared" si="118"/>
        <v>5.8226751527517467E-2</v>
      </c>
      <c r="O330" s="341">
        <f t="shared" si="119"/>
        <v>0.99985437237790298</v>
      </c>
      <c r="P330" s="342">
        <f t="shared" si="120"/>
        <v>2.9550500775217887E-2</v>
      </c>
      <c r="Q330" s="343">
        <f t="shared" si="121"/>
        <v>8.1349728634596552</v>
      </c>
      <c r="R330" s="344">
        <f t="shared" si="122"/>
        <v>-104.81795676867</v>
      </c>
      <c r="S330" s="346">
        <f t="shared" si="123"/>
        <v>75.182043231329999</v>
      </c>
      <c r="U330" s="319">
        <f t="shared" si="129"/>
        <v>1000000000</v>
      </c>
      <c r="V330" s="319">
        <f t="shared" si="130"/>
        <v>582148320.0625</v>
      </c>
      <c r="X330" s="345">
        <f t="shared" si="124"/>
        <v>37.409814633976616</v>
      </c>
      <c r="Y330" s="346">
        <f t="shared" si="125"/>
        <v>-16.404924682352537</v>
      </c>
      <c r="AA330" s="345">
        <f t="shared" si="126"/>
        <v>27.523205242399801</v>
      </c>
      <c r="AB330" s="346">
        <f t="shared" si="127"/>
        <v>-88.413032086317472</v>
      </c>
      <c r="AD330">
        <f t="shared" si="131"/>
        <v>0</v>
      </c>
      <c r="AE330">
        <f t="shared" si="134"/>
        <v>0</v>
      </c>
    </row>
    <row r="331" spans="1:31" x14ac:dyDescent="0.2">
      <c r="A331" s="347">
        <v>24267.5</v>
      </c>
      <c r="B331" s="364">
        <f t="shared" si="128"/>
        <v>24.267499999999998</v>
      </c>
      <c r="C331" s="337">
        <f t="shared" si="109"/>
        <v>48.172184086231567</v>
      </c>
      <c r="D331" s="338">
        <f t="shared" si="110"/>
        <v>1.5500359677896625</v>
      </c>
      <c r="E331" s="338">
        <f t="shared" si="111"/>
        <v>1.0006693557148039</v>
      </c>
      <c r="F331" s="339">
        <f t="shared" si="112"/>
        <v>3.6578205634275149E-2</v>
      </c>
      <c r="G331" s="338">
        <f t="shared" si="113"/>
        <v>1</v>
      </c>
      <c r="H331" s="339">
        <f t="shared" si="114"/>
        <v>0</v>
      </c>
      <c r="I331" s="337">
        <f t="shared" si="115"/>
        <v>4590.8427856191993</v>
      </c>
      <c r="J331" s="340">
        <f t="shared" si="116"/>
        <v>1.5705785018650078</v>
      </c>
      <c r="K331" s="348">
        <f t="shared" si="132"/>
        <v>4.4425340796079382</v>
      </c>
      <c r="L331" s="349">
        <f t="shared" si="133"/>
        <v>1.3437539894956259</v>
      </c>
      <c r="M331" s="337">
        <f t="shared" si="117"/>
        <v>1.0017172803405552</v>
      </c>
      <c r="N331" s="340">
        <f t="shared" si="118"/>
        <v>5.8563237501935844E-2</v>
      </c>
      <c r="O331" s="341">
        <f t="shared" si="119"/>
        <v>0.99985268238409064</v>
      </c>
      <c r="P331" s="342">
        <f t="shared" si="120"/>
        <v>2.9721760337092194E-2</v>
      </c>
      <c r="Q331" s="343">
        <f t="shared" si="121"/>
        <v>8.0821851122084549</v>
      </c>
      <c r="R331" s="344">
        <f t="shared" si="122"/>
        <v>-104.76918738191074</v>
      </c>
      <c r="S331" s="346">
        <f t="shared" si="123"/>
        <v>75.23081261808926</v>
      </c>
      <c r="U331" s="319">
        <f t="shared" si="129"/>
        <v>1000000000</v>
      </c>
      <c r="V331" s="319">
        <f t="shared" si="130"/>
        <v>588911556.25</v>
      </c>
      <c r="X331" s="345">
        <f t="shared" si="124"/>
        <v>37.407088036829606</v>
      </c>
      <c r="Y331" s="346">
        <f t="shared" si="125"/>
        <v>-16.351513611046038</v>
      </c>
      <c r="AA331" s="345">
        <f t="shared" si="126"/>
        <v>27.473144088295612</v>
      </c>
      <c r="AB331" s="346">
        <f t="shared" si="127"/>
        <v>-88.417673770864695</v>
      </c>
      <c r="AD331">
        <f t="shared" si="131"/>
        <v>0</v>
      </c>
      <c r="AE331">
        <f t="shared" si="134"/>
        <v>0</v>
      </c>
    </row>
    <row r="332" spans="1:31" x14ac:dyDescent="0.2">
      <c r="A332" s="347">
        <v>24407.25</v>
      </c>
      <c r="B332" s="364">
        <f t="shared" si="128"/>
        <v>24.407250000000001</v>
      </c>
      <c r="C332" s="337">
        <f t="shared" si="109"/>
        <v>48.449475524413501</v>
      </c>
      <c r="D332" s="338">
        <f t="shared" si="110"/>
        <v>1.5501548027166396</v>
      </c>
      <c r="E332" s="338">
        <f t="shared" si="111"/>
        <v>1.0006770845757227</v>
      </c>
      <c r="F332" s="339">
        <f t="shared" si="112"/>
        <v>3.6788660210891298E-2</v>
      </c>
      <c r="G332" s="338">
        <f t="shared" si="113"/>
        <v>1</v>
      </c>
      <c r="H332" s="339">
        <f t="shared" si="114"/>
        <v>0</v>
      </c>
      <c r="I332" s="337">
        <f t="shared" si="115"/>
        <v>4617.2802121747327</v>
      </c>
      <c r="J332" s="340">
        <f t="shared" si="116"/>
        <v>1.5705797490777416</v>
      </c>
      <c r="K332" s="348">
        <f t="shared" si="132"/>
        <v>4.4668246899422694</v>
      </c>
      <c r="L332" s="349">
        <f t="shared" si="133"/>
        <v>1.3450101262382914</v>
      </c>
      <c r="M332" s="337">
        <f t="shared" si="117"/>
        <v>1.0017370988025665</v>
      </c>
      <c r="N332" s="340">
        <f t="shared" si="118"/>
        <v>5.8899710200308333E-2</v>
      </c>
      <c r="O332" s="341">
        <f t="shared" si="119"/>
        <v>0.99985098267321926</v>
      </c>
      <c r="P332" s="342">
        <f t="shared" si="120"/>
        <v>2.9893021640510144E-2</v>
      </c>
      <c r="Q332" s="343">
        <f t="shared" si="121"/>
        <v>8.0297268403258233</v>
      </c>
      <c r="R332" s="344">
        <f t="shared" si="122"/>
        <v>-104.72112910420867</v>
      </c>
      <c r="S332" s="346">
        <f t="shared" si="123"/>
        <v>75.278870895791329</v>
      </c>
      <c r="U332" s="319">
        <f t="shared" si="129"/>
        <v>1000000000</v>
      </c>
      <c r="V332" s="319">
        <f t="shared" si="130"/>
        <v>595713852.5625</v>
      </c>
      <c r="X332" s="345">
        <f t="shared" si="124"/>
        <v>37.404402767950366</v>
      </c>
      <c r="Y332" s="346">
        <f t="shared" si="125"/>
        <v>-16.298892202703787</v>
      </c>
      <c r="AA332" s="345">
        <f t="shared" si="126"/>
        <v>27.423371085292221</v>
      </c>
      <c r="AB332" s="346">
        <f t="shared" si="127"/>
        <v>-88.422236901504874</v>
      </c>
      <c r="AD332">
        <f t="shared" si="131"/>
        <v>0</v>
      </c>
      <c r="AE332">
        <f t="shared" si="134"/>
        <v>0</v>
      </c>
    </row>
    <row r="333" spans="1:31" x14ac:dyDescent="0.2">
      <c r="A333" s="347">
        <v>24547</v>
      </c>
      <c r="B333" s="364">
        <f t="shared" si="128"/>
        <v>24.547000000000001</v>
      </c>
      <c r="C333" s="337">
        <f t="shared" ref="C333:C396" si="135">SQRT(1+(A333/pole1)^2)</f>
        <v>48.72676763899922</v>
      </c>
      <c r="D333" s="338">
        <f t="shared" ref="D333:D396" si="136">ATAN(A333/pole1)</f>
        <v>1.5502722851242625</v>
      </c>
      <c r="E333" s="338">
        <f t="shared" ref="E333:E396" si="137">SQRT(1+(A333/Zero1)^2)</f>
        <v>1.0006848577570733</v>
      </c>
      <c r="F333" s="339">
        <f t="shared" ref="F333:F396" si="138">ATAN(A333/Zero1)</f>
        <v>3.6999111527264456E-2</v>
      </c>
      <c r="G333" s="338">
        <f t="shared" ref="G333:G396" si="139">IF(VIN_nom&gt;Vout, 1, SQRT(1+(A333/z_RHP)^2))</f>
        <v>1</v>
      </c>
      <c r="H333" s="339">
        <f t="shared" ref="H333:H396" si="140">IF(VIN_nom&gt;Vout, 0, -ATAN(A333/z_RHP))</f>
        <v>0</v>
      </c>
      <c r="I333" s="337">
        <f t="shared" ref="I333:I396" si="141">SQRT(1+(A333/Pole2)^2)</f>
        <v>4643.7176387373656</v>
      </c>
      <c r="J333" s="340">
        <f t="shared" ref="J333:J396" si="142">ATAN(A333/Pole2)</f>
        <v>1.5705809820893126</v>
      </c>
      <c r="K333" s="348">
        <f t="shared" si="132"/>
        <v>4.4911222721407373</v>
      </c>
      <c r="L333" s="349">
        <f t="shared" si="133"/>
        <v>1.346252673182732</v>
      </c>
      <c r="M333" s="337">
        <f t="shared" ref="M333:M396" si="143">SQRT(1+(A333/pole4)^2)</f>
        <v>1.0017570306706236</v>
      </c>
      <c r="N333" s="340">
        <f t="shared" ref="N333:N396" si="144">ATAN(A333/pole4)</f>
        <v>5.9236169547238399E-2</v>
      </c>
      <c r="O333" s="341">
        <f t="shared" ref="O333:O396" si="145">SQRT((1-(V333/pterm2))^2+(A333/pterm1)^2)</f>
        <v>0.99984927324603645</v>
      </c>
      <c r="P333" s="342">
        <f t="shared" ref="P333:P396" si="146">IF((ATAN((A333/pterm1)/(1-A333^2/pterm2))&gt;0),ATAN((A333/pterm1)/(1-A333^2/pterm2)),PI()+ATAN((A333/pterm1)/(1-A333^2/pterm2)))</f>
        <v>3.0064284695496813E-2</v>
      </c>
      <c r="Q333" s="343">
        <f t="shared" ref="Q333:Q396" si="147">20*LOG10(((E333*K333*G333)/(C333*I333*O333*M333))*Adc)</f>
        <v>7.9775938459867257</v>
      </c>
      <c r="R333" s="344">
        <f t="shared" ref="R333:R396" si="148">((F333+L333+H333)-(D333+J333+P333+N333))*radconv</f>
        <v>-104.67377067944707</v>
      </c>
      <c r="S333" s="346">
        <f t="shared" ref="S333:S396" si="149">IF(R333&gt;0,R333,R333+180)</f>
        <v>75.326229320552926</v>
      </c>
      <c r="U333" s="319">
        <f t="shared" si="129"/>
        <v>1000000000</v>
      </c>
      <c r="V333" s="319">
        <f t="shared" si="130"/>
        <v>602555209</v>
      </c>
      <c r="X333" s="345">
        <f t="shared" ref="X333:X396" si="150">20*LOG10((K333/(I333*M333))*AEA)</f>
        <v>37.401757906360451</v>
      </c>
      <c r="Y333" s="346">
        <f t="shared" ref="Y333:Y396" si="151">(L333-(J333+N333))*radconv</f>
        <v>-16.247047853797149</v>
      </c>
      <c r="AA333" s="345">
        <f t="shared" ref="AA333:AA396" si="152">20*LOG10((E333*G333/(C333*O333))*Acs*Am)</f>
        <v>27.373882952543038</v>
      </c>
      <c r="AB333" s="346">
        <f t="shared" ref="AB333:AB396" si="153">(F333+H333-(D333+P333))*radconv</f>
        <v>-88.426722825649918</v>
      </c>
      <c r="AD333">
        <f t="shared" si="131"/>
        <v>0</v>
      </c>
      <c r="AE333">
        <f t="shared" si="134"/>
        <v>0</v>
      </c>
    </row>
    <row r="334" spans="1:31" x14ac:dyDescent="0.2">
      <c r="A334" s="347">
        <v>24690</v>
      </c>
      <c r="B334" s="364">
        <f t="shared" ref="B334:B397" si="154">A334/1000</f>
        <v>24.69</v>
      </c>
      <c r="C334" s="337">
        <f t="shared" si="135"/>
        <v>49.010509095618062</v>
      </c>
      <c r="D334" s="338">
        <f t="shared" si="136"/>
        <v>1.550391123559677</v>
      </c>
      <c r="E334" s="338">
        <f t="shared" si="137"/>
        <v>1.0006928575874845</v>
      </c>
      <c r="F334" s="339">
        <f t="shared" si="138"/>
        <v>3.7214453666076341E-2</v>
      </c>
      <c r="G334" s="338">
        <f t="shared" si="139"/>
        <v>1</v>
      </c>
      <c r="H334" s="339">
        <f t="shared" si="140"/>
        <v>0</v>
      </c>
      <c r="I334" s="337">
        <f t="shared" si="141"/>
        <v>4670.7698891807731</v>
      </c>
      <c r="J334" s="340">
        <f t="shared" si="142"/>
        <v>1.5705822293267349</v>
      </c>
      <c r="K334" s="348">
        <f t="shared" si="132"/>
        <v>4.5159920139520837</v>
      </c>
      <c r="L334" s="349">
        <f t="shared" si="133"/>
        <v>1.3475102738875384</v>
      </c>
      <c r="M334" s="337">
        <f t="shared" si="143"/>
        <v>1.0017775434561715</v>
      </c>
      <c r="N334" s="340">
        <f t="shared" si="144"/>
        <v>5.9580439630709615E-2</v>
      </c>
      <c r="O334" s="341">
        <f t="shared" si="145"/>
        <v>0.99984751400763772</v>
      </c>
      <c r="P334" s="342">
        <f t="shared" si="146"/>
        <v>3.0239532435828876E-2</v>
      </c>
      <c r="Q334" s="343">
        <f t="shared" si="147"/>
        <v>7.9245808700359355</v>
      </c>
      <c r="R334" s="344">
        <f t="shared" si="148"/>
        <v>-104.62602385190847</v>
      </c>
      <c r="S334" s="346">
        <f t="shared" si="149"/>
        <v>75.373976148091529</v>
      </c>
      <c r="U334" s="319">
        <f t="shared" ref="U334:U397" si="155">IF(Q334&lt;0,A334,1000000000)</f>
        <v>1000000000</v>
      </c>
      <c r="V334" s="319">
        <f t="shared" ref="V334:V397" si="156">A334^2</f>
        <v>609596100</v>
      </c>
      <c r="X334" s="345">
        <f t="shared" si="150"/>
        <v>37.399092429331219</v>
      </c>
      <c r="Y334" s="346">
        <f t="shared" si="151"/>
        <v>-16.194789325275217</v>
      </c>
      <c r="AA334" s="345">
        <f t="shared" si="152"/>
        <v>27.323535453621485</v>
      </c>
      <c r="AB334" s="346">
        <f t="shared" si="153"/>
        <v>-88.431234526633261</v>
      </c>
      <c r="AD334">
        <f t="shared" ref="AD334:AD397" si="157">SUM((Q335&lt;0)*(Q334&gt;0))*A334</f>
        <v>0</v>
      </c>
      <c r="AE334">
        <f t="shared" si="134"/>
        <v>0</v>
      </c>
    </row>
    <row r="335" spans="1:31" x14ac:dyDescent="0.2">
      <c r="A335" s="347">
        <v>24833</v>
      </c>
      <c r="B335" s="364">
        <f t="shared" si="154"/>
        <v>24.832999999999998</v>
      </c>
      <c r="C335" s="337">
        <f t="shared" si="135"/>
        <v>49.294251236423236</v>
      </c>
      <c r="D335" s="338">
        <f t="shared" si="136"/>
        <v>1.5505085939073033</v>
      </c>
      <c r="E335" s="338">
        <f t="shared" si="137"/>
        <v>1.0007009038215184</v>
      </c>
      <c r="F335" s="339">
        <f t="shared" si="138"/>
        <v>3.7429792351914529E-2</v>
      </c>
      <c r="G335" s="338">
        <f t="shared" si="139"/>
        <v>1</v>
      </c>
      <c r="H335" s="339">
        <f t="shared" si="140"/>
        <v>0</v>
      </c>
      <c r="I335" s="337">
        <f t="shared" si="141"/>
        <v>4697.8221396313638</v>
      </c>
      <c r="J335" s="340">
        <f t="shared" si="142"/>
        <v>1.5705834621998078</v>
      </c>
      <c r="K335" s="348">
        <f t="shared" si="132"/>
        <v>4.540868819832113</v>
      </c>
      <c r="L335" s="349">
        <f t="shared" si="133"/>
        <v>1.3487540972011975</v>
      </c>
      <c r="M335" s="337">
        <f t="shared" si="143"/>
        <v>1.0017981749694171</v>
      </c>
      <c r="N335" s="340">
        <f t="shared" si="144"/>
        <v>5.9924695574854074E-2</v>
      </c>
      <c r="O335" s="341">
        <f t="shared" si="145"/>
        <v>0.99984574459734887</v>
      </c>
      <c r="P335" s="342">
        <f t="shared" si="146"/>
        <v>3.0414782031382766E-2</v>
      </c>
      <c r="Q335" s="343">
        <f t="shared" si="147"/>
        <v>7.8718998312612429</v>
      </c>
      <c r="R335" s="344">
        <f t="shared" si="148"/>
        <v>-104.57898669607673</v>
      </c>
      <c r="S335" s="346">
        <f t="shared" si="149"/>
        <v>75.421013303923274</v>
      </c>
      <c r="U335" s="319">
        <f t="shared" si="155"/>
        <v>1000000000</v>
      </c>
      <c r="V335" s="319">
        <f t="shared" si="156"/>
        <v>616677889</v>
      </c>
      <c r="X335" s="345">
        <f t="shared" si="150"/>
        <v>37.396467388226625</v>
      </c>
      <c r="Y335" s="346">
        <f t="shared" si="151"/>
        <v>-16.143318549979281</v>
      </c>
      <c r="AA335" s="345">
        <f t="shared" si="152"/>
        <v>27.273479455951382</v>
      </c>
      <c r="AB335" s="346">
        <f t="shared" si="153"/>
        <v>-88.435668146097441</v>
      </c>
      <c r="AD335">
        <f t="shared" si="157"/>
        <v>0</v>
      </c>
      <c r="AE335">
        <f t="shared" si="134"/>
        <v>0</v>
      </c>
    </row>
    <row r="336" spans="1:31" x14ac:dyDescent="0.2">
      <c r="A336" s="347">
        <v>24976</v>
      </c>
      <c r="B336" s="364">
        <f t="shared" si="154"/>
        <v>24.975999999999999</v>
      </c>
      <c r="C336" s="337">
        <f t="shared" si="135"/>
        <v>49.577994049667645</v>
      </c>
      <c r="D336" s="338">
        <f t="shared" si="136"/>
        <v>1.5506247196532286</v>
      </c>
      <c r="E336" s="338">
        <f t="shared" si="137"/>
        <v>1.000708996458056</v>
      </c>
      <c r="F336" s="339">
        <f t="shared" si="138"/>
        <v>3.7645127564891731E-2</v>
      </c>
      <c r="G336" s="338">
        <f t="shared" si="139"/>
        <v>1</v>
      </c>
      <c r="H336" s="339">
        <f t="shared" si="140"/>
        <v>0</v>
      </c>
      <c r="I336" s="337">
        <f t="shared" si="141"/>
        <v>4724.8743900890122</v>
      </c>
      <c r="J336" s="340">
        <f t="shared" si="142"/>
        <v>1.5705846809552604</v>
      </c>
      <c r="K336" s="348">
        <f t="shared" si="132"/>
        <v>4.5657525743136862</v>
      </c>
      <c r="L336" s="349">
        <f t="shared" si="133"/>
        <v>1.3499843645072831</v>
      </c>
      <c r="M336" s="337">
        <f t="shared" si="143"/>
        <v>1.001818925203025</v>
      </c>
      <c r="N336" s="340">
        <f t="shared" si="144"/>
        <v>6.0268937298950845E-2</v>
      </c>
      <c r="O336" s="341">
        <f t="shared" si="145"/>
        <v>0.99984396501598505</v>
      </c>
      <c r="P336" s="342">
        <f t="shared" si="146"/>
        <v>3.0590033492899175E-2</v>
      </c>
      <c r="Q336" s="343">
        <f t="shared" si="147"/>
        <v>7.8195464829037364</v>
      </c>
      <c r="R336" s="344">
        <f t="shared" si="148"/>
        <v>-104.53264788452745</v>
      </c>
      <c r="S336" s="346">
        <f t="shared" si="149"/>
        <v>75.467352115472551</v>
      </c>
      <c r="U336" s="319">
        <f t="shared" si="155"/>
        <v>1000000000</v>
      </c>
      <c r="V336" s="319">
        <f t="shared" si="156"/>
        <v>623800576</v>
      </c>
      <c r="X336" s="345">
        <f t="shared" si="150"/>
        <v>37.393881874141982</v>
      </c>
      <c r="Y336" s="346">
        <f t="shared" si="151"/>
        <v>-16.09262285307647</v>
      </c>
      <c r="AA336" s="345">
        <f t="shared" si="152"/>
        <v>27.223711621678525</v>
      </c>
      <c r="AB336" s="346">
        <f t="shared" si="153"/>
        <v>-88.440025031451</v>
      </c>
      <c r="AD336">
        <f t="shared" si="157"/>
        <v>0</v>
      </c>
      <c r="AE336">
        <f t="shared" si="134"/>
        <v>0</v>
      </c>
    </row>
    <row r="337" spans="1:31" x14ac:dyDescent="0.2">
      <c r="A337" s="347">
        <v>25119</v>
      </c>
      <c r="B337" s="364">
        <f t="shared" si="154"/>
        <v>25.119</v>
      </c>
      <c r="C337" s="337">
        <f t="shared" si="135"/>
        <v>49.861737523871561</v>
      </c>
      <c r="D337" s="338">
        <f t="shared" si="136"/>
        <v>1.5507395237490871</v>
      </c>
      <c r="E337" s="338">
        <f t="shared" si="137"/>
        <v>1.0007171354959714</v>
      </c>
      <c r="F337" s="339">
        <f t="shared" si="138"/>
        <v>3.7860459285122577E-2</v>
      </c>
      <c r="G337" s="338">
        <f t="shared" si="139"/>
        <v>1</v>
      </c>
      <c r="H337" s="339">
        <f t="shared" si="140"/>
        <v>0</v>
      </c>
      <c r="I337" s="337">
        <f t="shared" si="141"/>
        <v>4751.9266405535991</v>
      </c>
      <c r="J337" s="340">
        <f t="shared" si="142"/>
        <v>1.5705858858342037</v>
      </c>
      <c r="K337" s="348">
        <f t="shared" si="132"/>
        <v>4.5906431644013335</v>
      </c>
      <c r="L337" s="349">
        <f t="shared" si="133"/>
        <v>1.3512012925541392</v>
      </c>
      <c r="M337" s="337">
        <f t="shared" si="143"/>
        <v>1.0018397941496184</v>
      </c>
      <c r="N337" s="340">
        <f t="shared" si="144"/>
        <v>6.0613164722299134E-2</v>
      </c>
      <c r="O337" s="341">
        <f t="shared" si="145"/>
        <v>0.99984217526436592</v>
      </c>
      <c r="P337" s="342">
        <f t="shared" si="146"/>
        <v>3.0765286831118708E-2</v>
      </c>
      <c r="Q337" s="343">
        <f t="shared" si="147"/>
        <v>7.7675166598622924</v>
      </c>
      <c r="R337" s="344">
        <f t="shared" si="148"/>
        <v>-104.48699632447264</v>
      </c>
      <c r="S337" s="346">
        <f t="shared" si="149"/>
        <v>75.513003675527358</v>
      </c>
      <c r="U337" s="319">
        <f t="shared" si="155"/>
        <v>1000000000</v>
      </c>
      <c r="V337" s="319">
        <f t="shared" si="156"/>
        <v>630964161</v>
      </c>
      <c r="X337" s="345">
        <f t="shared" si="150"/>
        <v>37.391335002754758</v>
      </c>
      <c r="Y337" s="346">
        <f t="shared" si="151"/>
        <v>-16.042689824992252</v>
      </c>
      <c r="AA337" s="345">
        <f t="shared" si="152"/>
        <v>27.174228670024299</v>
      </c>
      <c r="AB337" s="346">
        <f t="shared" si="153"/>
        <v>-88.444306499480433</v>
      </c>
      <c r="AD337">
        <f t="shared" si="157"/>
        <v>0</v>
      </c>
      <c r="AE337">
        <f t="shared" si="134"/>
        <v>0</v>
      </c>
    </row>
    <row r="338" spans="1:31" x14ac:dyDescent="0.2">
      <c r="A338" s="347">
        <v>25265.25</v>
      </c>
      <c r="B338" s="364">
        <f t="shared" si="154"/>
        <v>25.265250000000002</v>
      </c>
      <c r="C338" s="337">
        <f t="shared" si="135"/>
        <v>50.151930385369475</v>
      </c>
      <c r="D338" s="338">
        <f t="shared" si="136"/>
        <v>1.5508555933568884</v>
      </c>
      <c r="E338" s="338">
        <f t="shared" si="137"/>
        <v>1.0007255075060679</v>
      </c>
      <c r="F338" s="339">
        <f t="shared" si="138"/>
        <v>3.8080681274644437E-2</v>
      </c>
      <c r="G338" s="338">
        <f t="shared" si="139"/>
        <v>1</v>
      </c>
      <c r="H338" s="339">
        <f t="shared" si="140"/>
        <v>0</v>
      </c>
      <c r="I338" s="337">
        <f t="shared" si="141"/>
        <v>4779.5937148994344</v>
      </c>
      <c r="J338" s="340">
        <f t="shared" si="142"/>
        <v>1.5705871039891635</v>
      </c>
      <c r="K338" s="348">
        <f t="shared" si="132"/>
        <v>4.6161064048817479</v>
      </c>
      <c r="L338" s="349">
        <f t="shared" si="133"/>
        <v>1.3524323017632156</v>
      </c>
      <c r="M338" s="337">
        <f t="shared" si="143"/>
        <v>1.0018612601733996</v>
      </c>
      <c r="N338" s="340">
        <f t="shared" si="144"/>
        <v>6.0965200620126767E-2</v>
      </c>
      <c r="O338" s="341">
        <f t="shared" si="145"/>
        <v>0.9998403343178377</v>
      </c>
      <c r="P338" s="342">
        <f t="shared" si="146"/>
        <v>3.0944525152112257E-2</v>
      </c>
      <c r="Q338" s="343">
        <f t="shared" si="147"/>
        <v>7.7146347215751572</v>
      </c>
      <c r="R338" s="344">
        <f t="shared" si="148"/>
        <v>-104.44100676594006</v>
      </c>
      <c r="S338" s="346">
        <f t="shared" si="149"/>
        <v>75.55899323405994</v>
      </c>
      <c r="U338" s="319">
        <f t="shared" si="155"/>
        <v>1000000000</v>
      </c>
      <c r="V338" s="319">
        <f t="shared" si="156"/>
        <v>638332857.5625</v>
      </c>
      <c r="X338" s="345">
        <f t="shared" si="150"/>
        <v>37.388769321277387</v>
      </c>
      <c r="Y338" s="346">
        <f t="shared" si="151"/>
        <v>-15.992398159033574</v>
      </c>
      <c r="AA338" s="345">
        <f t="shared" si="152"/>
        <v>27.123912413214534</v>
      </c>
      <c r="AB338" s="346">
        <f t="shared" si="153"/>
        <v>-88.448608606906475</v>
      </c>
      <c r="AD338">
        <f t="shared" si="157"/>
        <v>0</v>
      </c>
      <c r="AE338">
        <f t="shared" si="134"/>
        <v>0</v>
      </c>
    </row>
    <row r="339" spans="1:31" x14ac:dyDescent="0.2">
      <c r="A339" s="347">
        <v>25411.5</v>
      </c>
      <c r="B339" s="364">
        <f t="shared" si="154"/>
        <v>25.4115</v>
      </c>
      <c r="C339" s="337">
        <f t="shared" si="135"/>
        <v>50.442123914747839</v>
      </c>
      <c r="D339" s="338">
        <f t="shared" si="136"/>
        <v>1.5509703274693569</v>
      </c>
      <c r="E339" s="338">
        <f t="shared" si="137"/>
        <v>1.0007339280482614</v>
      </c>
      <c r="F339" s="339">
        <f t="shared" si="138"/>
        <v>3.8300899568789092E-2</v>
      </c>
      <c r="G339" s="338">
        <f t="shared" si="139"/>
        <v>1</v>
      </c>
      <c r="H339" s="339">
        <f t="shared" si="140"/>
        <v>0</v>
      </c>
      <c r="I339" s="337">
        <f t="shared" si="141"/>
        <v>4807.2607892522819</v>
      </c>
      <c r="J339" s="340">
        <f t="shared" si="142"/>
        <v>1.5705883081225067</v>
      </c>
      <c r="K339" s="348">
        <f t="shared" si="132"/>
        <v>4.6415765637786182</v>
      </c>
      <c r="L339" s="349">
        <f t="shared" si="133"/>
        <v>1.3536498027356025</v>
      </c>
      <c r="M339" s="337">
        <f t="shared" si="143"/>
        <v>1.0018828503517894</v>
      </c>
      <c r="N339" s="340">
        <f t="shared" si="144"/>
        <v>6.1317221389110332E-2</v>
      </c>
      <c r="O339" s="341">
        <f t="shared" si="145"/>
        <v>0.99983848273526621</v>
      </c>
      <c r="P339" s="342">
        <f t="shared" si="146"/>
        <v>3.1123765458806792E-2</v>
      </c>
      <c r="Q339" s="343">
        <f t="shared" si="147"/>
        <v>7.6620826218105753</v>
      </c>
      <c r="R339" s="344">
        <f t="shared" si="148"/>
        <v>-104.39571330941649</v>
      </c>
      <c r="S339" s="346">
        <f t="shared" si="149"/>
        <v>75.604286690583507</v>
      </c>
      <c r="U339" s="319">
        <f t="shared" si="155"/>
        <v>1000000000</v>
      </c>
      <c r="V339" s="319">
        <f t="shared" si="156"/>
        <v>645744332.25</v>
      </c>
      <c r="X339" s="345">
        <f t="shared" si="150"/>
        <v>37.386242263320497</v>
      </c>
      <c r="Y339" s="346">
        <f t="shared" si="151"/>
        <v>-15.942878787828391</v>
      </c>
      <c r="AA339" s="345">
        <f t="shared" si="152"/>
        <v>27.07388737140684</v>
      </c>
      <c r="AB339" s="346">
        <f t="shared" si="153"/>
        <v>-88.452834521588088</v>
      </c>
      <c r="AD339">
        <f t="shared" si="157"/>
        <v>0</v>
      </c>
      <c r="AE339">
        <f t="shared" si="134"/>
        <v>0</v>
      </c>
    </row>
    <row r="340" spans="1:31" x14ac:dyDescent="0.2">
      <c r="A340" s="347">
        <v>25557.75</v>
      </c>
      <c r="B340" s="364">
        <f t="shared" si="154"/>
        <v>25.557749999999999</v>
      </c>
      <c r="C340" s="337">
        <f t="shared" si="135"/>
        <v>50.732318100545641</v>
      </c>
      <c r="D340" s="338">
        <f t="shared" si="136"/>
        <v>1.5510837490009663</v>
      </c>
      <c r="E340" s="338">
        <f t="shared" si="137"/>
        <v>1.0007423971213263</v>
      </c>
      <c r="F340" s="339">
        <f t="shared" si="138"/>
        <v>3.8521114146290655E-2</v>
      </c>
      <c r="G340" s="338">
        <f t="shared" si="139"/>
        <v>1</v>
      </c>
      <c r="H340" s="339">
        <f t="shared" si="140"/>
        <v>0</v>
      </c>
      <c r="I340" s="337">
        <f t="shared" si="141"/>
        <v>4834.9278636120189</v>
      </c>
      <c r="J340" s="340">
        <f t="shared" si="142"/>
        <v>1.5705894984749427</v>
      </c>
      <c r="K340" s="348">
        <f t="shared" si="132"/>
        <v>4.6670535278214418</v>
      </c>
      <c r="L340" s="349">
        <f t="shared" si="133"/>
        <v>1.3548540130522262</v>
      </c>
      <c r="M340" s="337">
        <f t="shared" si="143"/>
        <v>1.0019045646767613</v>
      </c>
      <c r="N340" s="340">
        <f t="shared" si="144"/>
        <v>6.1669226942986856E-2</v>
      </c>
      <c r="O340" s="341">
        <f t="shared" si="145"/>
        <v>0.99983662051754341</v>
      </c>
      <c r="P340" s="342">
        <f t="shared" si="146"/>
        <v>3.1303007762691744E-2</v>
      </c>
      <c r="Q340" s="343">
        <f t="shared" si="147"/>
        <v>7.6098561566720466</v>
      </c>
      <c r="R340" s="344">
        <f t="shared" si="148"/>
        <v>-104.35110481206171</v>
      </c>
      <c r="S340" s="346">
        <f t="shared" si="149"/>
        <v>75.648895187938294</v>
      </c>
      <c r="U340" s="319">
        <f t="shared" si="155"/>
        <v>1000000000</v>
      </c>
      <c r="V340" s="319">
        <f t="shared" si="156"/>
        <v>653198585.0625</v>
      </c>
      <c r="X340" s="345">
        <f t="shared" si="150"/>
        <v>37.3837529576425</v>
      </c>
      <c r="Y340" s="346">
        <f t="shared" si="151"/>
        <v>-15.894119253757035</v>
      </c>
      <c r="AA340" s="345">
        <f t="shared" si="152"/>
        <v>27.024150211946306</v>
      </c>
      <c r="AB340" s="346">
        <f t="shared" si="153"/>
        <v>-88.456985558304666</v>
      </c>
      <c r="AD340">
        <f t="shared" si="157"/>
        <v>0</v>
      </c>
      <c r="AE340">
        <f t="shared" si="134"/>
        <v>0</v>
      </c>
    </row>
    <row r="341" spans="1:31" x14ac:dyDescent="0.2">
      <c r="A341" s="347">
        <v>25704</v>
      </c>
      <c r="B341" s="364">
        <f t="shared" si="154"/>
        <v>25.704000000000001</v>
      </c>
      <c r="C341" s="337">
        <f t="shared" si="135"/>
        <v>51.022512931562595</v>
      </c>
      <c r="D341" s="338">
        <f t="shared" si="136"/>
        <v>1.5511958803450152</v>
      </c>
      <c r="E341" s="338">
        <f t="shared" si="137"/>
        <v>1.000750914724031</v>
      </c>
      <c r="F341" s="339">
        <f t="shared" si="138"/>
        <v>3.8741324985885388E-2</v>
      </c>
      <c r="G341" s="338">
        <f t="shared" si="139"/>
        <v>1</v>
      </c>
      <c r="H341" s="339">
        <f t="shared" si="140"/>
        <v>0</v>
      </c>
      <c r="I341" s="337">
        <f t="shared" si="141"/>
        <v>4862.5949379785288</v>
      </c>
      <c r="J341" s="340">
        <f t="shared" si="142"/>
        <v>1.5705906752817018</v>
      </c>
      <c r="K341" s="348">
        <f t="shared" si="132"/>
        <v>4.6925371861696767</v>
      </c>
      <c r="L341" s="349">
        <f t="shared" si="133"/>
        <v>1.3560451457236502</v>
      </c>
      <c r="M341" s="337">
        <f t="shared" si="143"/>
        <v>1.0019264031402437</v>
      </c>
      <c r="N341" s="340">
        <f t="shared" si="144"/>
        <v>6.2021217195515885E-2</v>
      </c>
      <c r="O341" s="341">
        <f t="shared" si="145"/>
        <v>0.99983474766556679</v>
      </c>
      <c r="P341" s="342">
        <f t="shared" si="146"/>
        <v>3.1482252075256463E-2</v>
      </c>
      <c r="Q341" s="343">
        <f t="shared" si="147"/>
        <v>7.5579512028233218</v>
      </c>
      <c r="R341" s="344">
        <f t="shared" si="148"/>
        <v>-104.30717036272405</v>
      </c>
      <c r="S341" s="346">
        <f t="shared" si="149"/>
        <v>75.692829637275949</v>
      </c>
      <c r="U341" s="319">
        <f t="shared" si="155"/>
        <v>1000000000</v>
      </c>
      <c r="V341" s="319">
        <f t="shared" si="156"/>
        <v>660695616</v>
      </c>
      <c r="X341" s="345">
        <f t="shared" si="150"/>
        <v>37.381300556602582</v>
      </c>
      <c r="Y341" s="346">
        <f t="shared" si="151"/>
        <v>-15.846107360749697</v>
      </c>
      <c r="AA341" s="345">
        <f t="shared" si="152"/>
        <v>26.974697659137501</v>
      </c>
      <c r="AB341" s="346">
        <f t="shared" si="153"/>
        <v>-88.461063001974324</v>
      </c>
      <c r="AD341">
        <f t="shared" si="157"/>
        <v>0</v>
      </c>
      <c r="AE341">
        <f t="shared" si="134"/>
        <v>0</v>
      </c>
    </row>
    <row r="342" spans="1:31" x14ac:dyDescent="0.2">
      <c r="A342" s="347">
        <v>25853.75</v>
      </c>
      <c r="B342" s="364">
        <f t="shared" si="154"/>
        <v>25.853750000000002</v>
      </c>
      <c r="C342" s="337">
        <f t="shared" si="135"/>
        <v>51.319653253275966</v>
      </c>
      <c r="D342" s="338">
        <f t="shared" si="136"/>
        <v>1.5513093811594005</v>
      </c>
      <c r="E342" s="338">
        <f t="shared" si="137"/>
        <v>1.0007596864511321</v>
      </c>
      <c r="F342" s="339">
        <f t="shared" si="138"/>
        <v>3.8966801933113832E-2</v>
      </c>
      <c r="G342" s="338">
        <f t="shared" si="139"/>
        <v>1</v>
      </c>
      <c r="H342" s="339">
        <f t="shared" si="140"/>
        <v>0</v>
      </c>
      <c r="I342" s="337">
        <f t="shared" si="141"/>
        <v>4890.9241303709641</v>
      </c>
      <c r="J342" s="340">
        <f t="shared" si="142"/>
        <v>1.5705918664556413</v>
      </c>
      <c r="K342" s="348">
        <f t="shared" si="132"/>
        <v>4.7186375330949115</v>
      </c>
      <c r="L342" s="349">
        <f t="shared" si="133"/>
        <v>1.3572514510906761</v>
      </c>
      <c r="M342" s="337">
        <f t="shared" si="143"/>
        <v>1.0019488928554567</v>
      </c>
      <c r="N342" s="340">
        <f t="shared" si="144"/>
        <v>6.2381615201337698E-2</v>
      </c>
      <c r="O342" s="341">
        <f t="shared" si="145"/>
        <v>0.99983281897510223</v>
      </c>
      <c r="P342" s="342">
        <f t="shared" si="146"/>
        <v>3.1665788088662737E-2</v>
      </c>
      <c r="Q342" s="343">
        <f t="shared" si="147"/>
        <v>7.5051329997942986</v>
      </c>
      <c r="R342" s="344">
        <f t="shared" si="148"/>
        <v>-104.26287176939547</v>
      </c>
      <c r="S342" s="346">
        <f t="shared" si="149"/>
        <v>75.737128230604526</v>
      </c>
      <c r="U342" s="319">
        <f t="shared" si="155"/>
        <v>1000000000</v>
      </c>
      <c r="V342" s="319">
        <f t="shared" si="156"/>
        <v>668416389.0625</v>
      </c>
      <c r="X342" s="345">
        <f t="shared" si="150"/>
        <v>37.37882684429124</v>
      </c>
      <c r="Y342" s="346">
        <f t="shared" si="151"/>
        <v>-15.797708688277746</v>
      </c>
      <c r="AA342" s="345">
        <f t="shared" si="152"/>
        <v>26.92435316841982</v>
      </c>
      <c r="AB342" s="346">
        <f t="shared" si="153"/>
        <v>-88.465163081117751</v>
      </c>
      <c r="AD342">
        <f t="shared" si="157"/>
        <v>0</v>
      </c>
      <c r="AE342">
        <f t="shared" si="134"/>
        <v>0</v>
      </c>
    </row>
    <row r="343" spans="1:31" x14ac:dyDescent="0.2">
      <c r="A343" s="347">
        <v>26003.5</v>
      </c>
      <c r="B343" s="364">
        <f t="shared" si="154"/>
        <v>26.003499999999999</v>
      </c>
      <c r="C343" s="337">
        <f t="shared" si="135"/>
        <v>51.616794228499721</v>
      </c>
      <c r="D343" s="338">
        <f t="shared" si="136"/>
        <v>1.5514215752012039</v>
      </c>
      <c r="E343" s="338">
        <f t="shared" si="137"/>
        <v>1.000768509055816</v>
      </c>
      <c r="F343" s="339">
        <f t="shared" si="138"/>
        <v>3.9192274916272418E-2</v>
      </c>
      <c r="G343" s="338">
        <f t="shared" si="139"/>
        <v>1</v>
      </c>
      <c r="H343" s="339">
        <f t="shared" si="140"/>
        <v>0</v>
      </c>
      <c r="I343" s="337">
        <f t="shared" si="141"/>
        <v>4919.2533227702588</v>
      </c>
      <c r="J343" s="340">
        <f t="shared" si="142"/>
        <v>1.5705930439100209</v>
      </c>
      <c r="K343" s="348">
        <f t="shared" ref="K343:K406" si="158">SQRT(1+(A343/Zero2)^2)</f>
        <v>4.7447446709035237</v>
      </c>
      <c r="L343" s="349">
        <f t="shared" ref="L343:L406" si="159">ATAN(A343/Zero2)</f>
        <v>1.3584444832041453</v>
      </c>
      <c r="M343" s="337">
        <f t="shared" si="143"/>
        <v>1.0019715127046755</v>
      </c>
      <c r="N343" s="340">
        <f t="shared" si="144"/>
        <v>6.2741996981750342E-2</v>
      </c>
      <c r="O343" s="341">
        <f t="shared" si="145"/>
        <v>0.99983087913722424</v>
      </c>
      <c r="P343" s="342">
        <f t="shared" si="146"/>
        <v>3.184932623242083E-2</v>
      </c>
      <c r="Q343" s="343">
        <f t="shared" si="147"/>
        <v>7.4526433812408488</v>
      </c>
      <c r="R343" s="344">
        <f t="shared" si="148"/>
        <v>-104.2192574383875</v>
      </c>
      <c r="S343" s="346">
        <f t="shared" si="149"/>
        <v>75.780742561612499</v>
      </c>
      <c r="U343" s="319">
        <f t="shared" si="155"/>
        <v>1000000000</v>
      </c>
      <c r="V343" s="319">
        <f t="shared" si="156"/>
        <v>676182012.25</v>
      </c>
      <c r="X343" s="345">
        <f t="shared" si="150"/>
        <v>37.376390098050152</v>
      </c>
      <c r="Y343" s="346">
        <f t="shared" si="151"/>
        <v>-15.750068801495528</v>
      </c>
      <c r="AA343" s="345">
        <f t="shared" si="152"/>
        <v>26.874300296107464</v>
      </c>
      <c r="AB343" s="346">
        <f t="shared" si="153"/>
        <v>-88.469188636892</v>
      </c>
      <c r="AD343">
        <f t="shared" si="157"/>
        <v>0</v>
      </c>
      <c r="AE343">
        <f t="shared" si="134"/>
        <v>0</v>
      </c>
    </row>
    <row r="344" spans="1:31" x14ac:dyDescent="0.2">
      <c r="A344" s="347">
        <v>26153.25</v>
      </c>
      <c r="B344" s="364">
        <f t="shared" si="154"/>
        <v>26.15325</v>
      </c>
      <c r="C344" s="337">
        <f t="shared" si="135"/>
        <v>51.913935846012315</v>
      </c>
      <c r="D344" s="338">
        <f t="shared" si="136"/>
        <v>1.5515324849064369</v>
      </c>
      <c r="E344" s="338">
        <f t="shared" si="137"/>
        <v>1.000777382536737</v>
      </c>
      <c r="F344" s="339">
        <f t="shared" si="138"/>
        <v>3.9417743912541062E-2</v>
      </c>
      <c r="G344" s="338">
        <f t="shared" si="139"/>
        <v>1</v>
      </c>
      <c r="H344" s="339">
        <f t="shared" si="140"/>
        <v>0</v>
      </c>
      <c r="I344" s="337">
        <f t="shared" si="141"/>
        <v>4947.5825151762965</v>
      </c>
      <c r="J344" s="340">
        <f t="shared" si="142"/>
        <v>1.5705942078805093</v>
      </c>
      <c r="K344" s="348">
        <f t="shared" si="158"/>
        <v>4.7708584881121041</v>
      </c>
      <c r="L344" s="349">
        <f t="shared" si="159"/>
        <v>1.3596244565975619</v>
      </c>
      <c r="M344" s="337">
        <f t="shared" si="143"/>
        <v>1.0019942626790872</v>
      </c>
      <c r="N344" s="340">
        <f t="shared" si="144"/>
        <v>6.3102362444246676E-2</v>
      </c>
      <c r="O344" s="341">
        <f t="shared" si="145"/>
        <v>0.99982892815291269</v>
      </c>
      <c r="P344" s="342">
        <f t="shared" si="146"/>
        <v>3.2032866518864563E-2</v>
      </c>
      <c r="Q344" s="343">
        <f t="shared" si="147"/>
        <v>7.4004781700139208</v>
      </c>
      <c r="R344" s="344">
        <f t="shared" si="148"/>
        <v>-104.17631637354124</v>
      </c>
      <c r="S344" s="346">
        <f t="shared" si="149"/>
        <v>75.823683626458759</v>
      </c>
      <c r="U344" s="319">
        <f t="shared" si="155"/>
        <v>1000000000</v>
      </c>
      <c r="V344" s="319">
        <f t="shared" si="156"/>
        <v>683992485.5625</v>
      </c>
      <c r="X344" s="345">
        <f t="shared" si="150"/>
        <v>37.373989479971669</v>
      </c>
      <c r="Y344" s="346">
        <f t="shared" si="151"/>
        <v>-15.703175416741223</v>
      </c>
      <c r="AA344" s="345">
        <f t="shared" si="152"/>
        <v>26.824535702959011</v>
      </c>
      <c r="AB344" s="346">
        <f t="shared" si="153"/>
        <v>-88.473140956799995</v>
      </c>
      <c r="AD344">
        <f t="shared" si="157"/>
        <v>0</v>
      </c>
      <c r="AE344">
        <f t="shared" si="134"/>
        <v>0</v>
      </c>
    </row>
    <row r="345" spans="1:31" x14ac:dyDescent="0.2">
      <c r="A345" s="347">
        <v>26303</v>
      </c>
      <c r="B345" s="364">
        <f t="shared" si="154"/>
        <v>26.303000000000001</v>
      </c>
      <c r="C345" s="337">
        <f t="shared" si="135"/>
        <v>52.211078094847636</v>
      </c>
      <c r="D345" s="338">
        <f t="shared" si="136"/>
        <v>1.5516421322004899</v>
      </c>
      <c r="E345" s="338">
        <f t="shared" si="137"/>
        <v>1.0007863068925418</v>
      </c>
      <c r="F345" s="339">
        <f t="shared" si="138"/>
        <v>3.9643208899102111E-2</v>
      </c>
      <c r="G345" s="338">
        <f t="shared" si="139"/>
        <v>1</v>
      </c>
      <c r="H345" s="339">
        <f t="shared" si="140"/>
        <v>0</v>
      </c>
      <c r="I345" s="337">
        <f t="shared" si="141"/>
        <v>4975.9117075889608</v>
      </c>
      <c r="J345" s="340">
        <f t="shared" si="142"/>
        <v>1.5705953585974091</v>
      </c>
      <c r="K345" s="348">
        <f t="shared" si="158"/>
        <v>4.7969788756366016</v>
      </c>
      <c r="L345" s="349">
        <f t="shared" si="159"/>
        <v>1.3607915812789977</v>
      </c>
      <c r="M345" s="337">
        <f t="shared" si="143"/>
        <v>1.0020171427698281</v>
      </c>
      <c r="N345" s="340">
        <f t="shared" si="144"/>
        <v>6.3462711496344873E-2</v>
      </c>
      <c r="O345" s="341">
        <f t="shared" si="145"/>
        <v>0.99982696602315391</v>
      </c>
      <c r="P345" s="342">
        <f t="shared" si="146"/>
        <v>3.2216408960327673E-2</v>
      </c>
      <c r="Q345" s="343">
        <f t="shared" si="147"/>
        <v>7.3486332688337255</v>
      </c>
      <c r="R345" s="344">
        <f t="shared" si="148"/>
        <v>-104.13403780842334</v>
      </c>
      <c r="S345" s="346">
        <f t="shared" si="149"/>
        <v>75.865962191576656</v>
      </c>
      <c r="U345" s="319">
        <f t="shared" si="155"/>
        <v>1000000000</v>
      </c>
      <c r="V345" s="319">
        <f t="shared" si="156"/>
        <v>691847809</v>
      </c>
      <c r="X345" s="345">
        <f t="shared" si="150"/>
        <v>37.371624174906316</v>
      </c>
      <c r="Y345" s="346">
        <f t="shared" si="151"/>
        <v>-15.657016509335199</v>
      </c>
      <c r="AA345" s="345">
        <f t="shared" si="152"/>
        <v>26.775056106844168</v>
      </c>
      <c r="AB345" s="346">
        <f t="shared" si="153"/>
        <v>-88.477021299088136</v>
      </c>
      <c r="AD345">
        <f t="shared" si="157"/>
        <v>0</v>
      </c>
      <c r="AE345">
        <f t="shared" si="134"/>
        <v>0</v>
      </c>
    </row>
    <row r="346" spans="1:31" x14ac:dyDescent="0.2">
      <c r="A346" s="347">
        <v>26456</v>
      </c>
      <c r="B346" s="364">
        <f t="shared" si="154"/>
        <v>26.456</v>
      </c>
      <c r="C346" s="337">
        <f t="shared" si="135"/>
        <v>52.514669814666846</v>
      </c>
      <c r="D346" s="338">
        <f t="shared" si="136"/>
        <v>1.551752877635908</v>
      </c>
      <c r="E346" s="338">
        <f t="shared" si="137"/>
        <v>1.0007954774738388</v>
      </c>
      <c r="F346" s="339">
        <f t="shared" si="138"/>
        <v>3.9873562950836765E-2</v>
      </c>
      <c r="G346" s="338">
        <f t="shared" si="139"/>
        <v>1</v>
      </c>
      <c r="H346" s="339">
        <f t="shared" si="140"/>
        <v>0</v>
      </c>
      <c r="I346" s="337">
        <f t="shared" si="141"/>
        <v>5004.8557238837511</v>
      </c>
      <c r="J346" s="340">
        <f t="shared" si="142"/>
        <v>1.5705965208340811</v>
      </c>
      <c r="K346" s="348">
        <f t="shared" si="158"/>
        <v>4.8236728244236673</v>
      </c>
      <c r="L346" s="349">
        <f t="shared" si="159"/>
        <v>1.3619709797128474</v>
      </c>
      <c r="M346" s="337">
        <f t="shared" si="143"/>
        <v>1.0020406537970146</v>
      </c>
      <c r="N346" s="340">
        <f t="shared" si="144"/>
        <v>6.3830864100897278E-2</v>
      </c>
      <c r="O346" s="341">
        <f t="shared" si="145"/>
        <v>0.99982494979973791</v>
      </c>
      <c r="P346" s="342">
        <f t="shared" si="146"/>
        <v>3.2403937032187802E-2</v>
      </c>
      <c r="Q346" s="343">
        <f t="shared" si="147"/>
        <v>7.2959898182617824</v>
      </c>
      <c r="R346" s="344">
        <f t="shared" si="148"/>
        <v>-104.09151493561401</v>
      </c>
      <c r="S346" s="346">
        <f t="shared" si="149"/>
        <v>75.908485064385985</v>
      </c>
      <c r="U346" s="319">
        <f t="shared" si="155"/>
        <v>1000000000</v>
      </c>
      <c r="V346" s="319">
        <f t="shared" si="156"/>
        <v>699919936</v>
      </c>
      <c r="X346" s="345">
        <f t="shared" si="150"/>
        <v>37.369243181992033</v>
      </c>
      <c r="Y346" s="346">
        <f t="shared" si="151"/>
        <v>-15.610602138371942</v>
      </c>
      <c r="AA346" s="345">
        <f t="shared" si="152"/>
        <v>26.724793649186505</v>
      </c>
      <c r="AB346" s="346">
        <f t="shared" si="153"/>
        <v>-88.48091279724207</v>
      </c>
      <c r="AD346">
        <f t="shared" si="157"/>
        <v>0</v>
      </c>
      <c r="AE346">
        <f t="shared" ref="AE346:AE409" si="160">IF(AD346&gt;0,S346,0)</f>
        <v>0</v>
      </c>
    </row>
    <row r="347" spans="1:31" x14ac:dyDescent="0.2">
      <c r="A347" s="347">
        <v>26609</v>
      </c>
      <c r="B347" s="364">
        <f t="shared" si="154"/>
        <v>26.609000000000002</v>
      </c>
      <c r="C347" s="337">
        <f t="shared" si="135"/>
        <v>52.818262171150892</v>
      </c>
      <c r="D347" s="338">
        <f t="shared" si="136"/>
        <v>1.551862349972545</v>
      </c>
      <c r="E347" s="338">
        <f t="shared" si="137"/>
        <v>1.0008047011593604</v>
      </c>
      <c r="F347" s="339">
        <f t="shared" si="138"/>
        <v>4.0103912768784375E-2</v>
      </c>
      <c r="G347" s="338">
        <f t="shared" si="139"/>
        <v>1</v>
      </c>
      <c r="H347" s="339">
        <f t="shared" si="140"/>
        <v>0</v>
      </c>
      <c r="I347" s="337">
        <f t="shared" si="141"/>
        <v>5033.7997401852253</v>
      </c>
      <c r="J347" s="340">
        <f t="shared" si="142"/>
        <v>1.5705976697051849</v>
      </c>
      <c r="K347" s="348">
        <f t="shared" si="158"/>
        <v>4.8503734089882258</v>
      </c>
      <c r="L347" s="349">
        <f t="shared" si="159"/>
        <v>1.3631373949282068</v>
      </c>
      <c r="M347" s="337">
        <f t="shared" si="143"/>
        <v>1.0020643006307401</v>
      </c>
      <c r="N347" s="340">
        <f t="shared" si="144"/>
        <v>6.4198999379924654E-2</v>
      </c>
      <c r="O347" s="341">
        <f t="shared" si="145"/>
        <v>0.99982292194394784</v>
      </c>
      <c r="P347" s="342">
        <f t="shared" si="146"/>
        <v>3.2591467379651337E-2</v>
      </c>
      <c r="Q347" s="343">
        <f t="shared" si="147"/>
        <v>7.243672331299563</v>
      </c>
      <c r="R347" s="344">
        <f t="shared" si="148"/>
        <v>-104.04966161773285</v>
      </c>
      <c r="S347" s="346">
        <f t="shared" si="149"/>
        <v>75.950338382267148</v>
      </c>
      <c r="U347" s="319">
        <f t="shared" si="155"/>
        <v>1000000000</v>
      </c>
      <c r="V347" s="319">
        <f t="shared" si="156"/>
        <v>708038881</v>
      </c>
      <c r="X347" s="345">
        <f t="shared" si="150"/>
        <v>37.366897400753757</v>
      </c>
      <c r="Y347" s="346">
        <f t="shared" si="151"/>
        <v>-15.564929892563399</v>
      </c>
      <c r="AA347" s="345">
        <f t="shared" si="152"/>
        <v>26.674821943462568</v>
      </c>
      <c r="AB347" s="346">
        <f t="shared" si="153"/>
        <v>-88.484731725169439</v>
      </c>
      <c r="AD347">
        <f t="shared" si="157"/>
        <v>0</v>
      </c>
      <c r="AE347">
        <f t="shared" si="160"/>
        <v>0</v>
      </c>
    </row>
    <row r="348" spans="1:31" x14ac:dyDescent="0.2">
      <c r="A348" s="347">
        <v>26762</v>
      </c>
      <c r="B348" s="364">
        <f t="shared" si="154"/>
        <v>26.762</v>
      </c>
      <c r="C348" s="337">
        <f t="shared" si="135"/>
        <v>53.121855153384111</v>
      </c>
      <c r="D348" s="338">
        <f t="shared" si="136"/>
        <v>1.5519705710351468</v>
      </c>
      <c r="E348" s="338">
        <f t="shared" si="137"/>
        <v>1.0008139779476386</v>
      </c>
      <c r="F348" s="339">
        <f t="shared" si="138"/>
        <v>4.0334258328617152E-2</v>
      </c>
      <c r="G348" s="338">
        <f t="shared" si="139"/>
        <v>1</v>
      </c>
      <c r="H348" s="339">
        <f t="shared" si="140"/>
        <v>0</v>
      </c>
      <c r="I348" s="337">
        <f t="shared" si="141"/>
        <v>5062.7437564932679</v>
      </c>
      <c r="J348" s="340">
        <f t="shared" si="142"/>
        <v>1.5705988054399556</v>
      </c>
      <c r="K348" s="348">
        <f t="shared" si="158"/>
        <v>4.8770805203434753</v>
      </c>
      <c r="L348" s="349">
        <f t="shared" si="159"/>
        <v>1.3642910370149153</v>
      </c>
      <c r="M348" s="337">
        <f t="shared" si="143"/>
        <v>1.0020880832613908</v>
      </c>
      <c r="N348" s="340">
        <f t="shared" si="144"/>
        <v>6.4567117234875071E-2</v>
      </c>
      <c r="O348" s="341">
        <f t="shared" si="145"/>
        <v>0.9998208824568533</v>
      </c>
      <c r="P348" s="342">
        <f t="shared" si="146"/>
        <v>3.2779000015872306E-2</v>
      </c>
      <c r="Q348" s="343">
        <f t="shared" si="147"/>
        <v>7.1916766834407664</v>
      </c>
      <c r="R348" s="344">
        <f t="shared" si="148"/>
        <v>-104.00846707761968</v>
      </c>
      <c r="S348" s="346">
        <f t="shared" si="149"/>
        <v>75.991532922380316</v>
      </c>
      <c r="U348" s="319">
        <f t="shared" si="155"/>
        <v>1000000000</v>
      </c>
      <c r="V348" s="319">
        <f t="shared" si="156"/>
        <v>716204644</v>
      </c>
      <c r="X348" s="345">
        <f t="shared" si="150"/>
        <v>37.364586030755355</v>
      </c>
      <c r="Y348" s="346">
        <f t="shared" si="151"/>
        <v>-15.51998774213606</v>
      </c>
      <c r="AA348" s="345">
        <f t="shared" si="152"/>
        <v>26.625137665602171</v>
      </c>
      <c r="AB348" s="346">
        <f t="shared" si="153"/>
        <v>-88.488479335483646</v>
      </c>
      <c r="AD348">
        <f t="shared" si="157"/>
        <v>0</v>
      </c>
      <c r="AE348">
        <f t="shared" si="160"/>
        <v>0</v>
      </c>
    </row>
    <row r="349" spans="1:31" x14ac:dyDescent="0.2">
      <c r="A349" s="347">
        <v>26915</v>
      </c>
      <c r="B349" s="364">
        <f t="shared" si="154"/>
        <v>26.914999999999999</v>
      </c>
      <c r="C349" s="337">
        <f t="shared" si="135"/>
        <v>53.425448750698969</v>
      </c>
      <c r="D349" s="338">
        <f t="shared" si="136"/>
        <v>1.5520775621524956</v>
      </c>
      <c r="E349" s="338">
        <f t="shared" si="137"/>
        <v>1.0008233078371964</v>
      </c>
      <c r="F349" s="339">
        <f t="shared" si="138"/>
        <v>4.0564599606010006E-2</v>
      </c>
      <c r="G349" s="338">
        <f t="shared" si="139"/>
        <v>1</v>
      </c>
      <c r="H349" s="339">
        <f t="shared" si="140"/>
        <v>0</v>
      </c>
      <c r="I349" s="337">
        <f t="shared" si="141"/>
        <v>5091.6877728077652</v>
      </c>
      <c r="J349" s="340">
        <f t="shared" si="142"/>
        <v>1.5705999282624161</v>
      </c>
      <c r="K349" s="348">
        <f t="shared" si="158"/>
        <v>4.9037940518505208</v>
      </c>
      <c r="L349" s="349">
        <f t="shared" si="159"/>
        <v>1.3654321116226167</v>
      </c>
      <c r="M349" s="337">
        <f t="shared" si="143"/>
        <v>1.0021120016792981</v>
      </c>
      <c r="N349" s="340">
        <f t="shared" si="144"/>
        <v>6.4935217567224771E-2</v>
      </c>
      <c r="O349" s="341">
        <f t="shared" si="145"/>
        <v>0.9998188313395302</v>
      </c>
      <c r="P349" s="342">
        <f t="shared" si="146"/>
        <v>3.2966534954004589E-2</v>
      </c>
      <c r="Q349" s="343">
        <f t="shared" si="147"/>
        <v>7.1399988286971139</v>
      </c>
      <c r="R349" s="344">
        <f t="shared" si="148"/>
        <v>-103.96792076380513</v>
      </c>
      <c r="S349" s="346">
        <f t="shared" si="149"/>
        <v>76.032079236194875</v>
      </c>
      <c r="U349" s="319">
        <f t="shared" si="155"/>
        <v>1000000000</v>
      </c>
      <c r="V349" s="319">
        <f t="shared" si="156"/>
        <v>724417225</v>
      </c>
      <c r="X349" s="345">
        <f t="shared" si="150"/>
        <v>37.362308293310569</v>
      </c>
      <c r="Y349" s="346">
        <f t="shared" si="151"/>
        <v>-15.475763911423835</v>
      </c>
      <c r="AA349" s="345">
        <f t="shared" si="152"/>
        <v>26.575737548303309</v>
      </c>
      <c r="AB349" s="346">
        <f t="shared" si="153"/>
        <v>-88.492156852381285</v>
      </c>
      <c r="AD349">
        <f t="shared" si="157"/>
        <v>0</v>
      </c>
      <c r="AE349">
        <f t="shared" si="160"/>
        <v>0</v>
      </c>
    </row>
    <row r="350" spans="1:31" x14ac:dyDescent="0.2">
      <c r="A350" s="347">
        <v>27071.75</v>
      </c>
      <c r="B350" s="364">
        <f t="shared" si="154"/>
        <v>27.071750000000002</v>
      </c>
      <c r="C350" s="337">
        <f t="shared" si="135"/>
        <v>53.736483994535767</v>
      </c>
      <c r="D350" s="338">
        <f t="shared" si="136"/>
        <v>1.5521859218610179</v>
      </c>
      <c r="E350" s="338">
        <f t="shared" si="137"/>
        <v>1.0008329214684479</v>
      </c>
      <c r="F350" s="339">
        <f t="shared" si="138"/>
        <v>4.0800582036347975E-2</v>
      </c>
      <c r="G350" s="338">
        <f t="shared" si="139"/>
        <v>1</v>
      </c>
      <c r="H350" s="339">
        <f t="shared" si="140"/>
        <v>0</v>
      </c>
      <c r="I350" s="337">
        <f t="shared" si="141"/>
        <v>5121.3412012934159</v>
      </c>
      <c r="J350" s="340">
        <f t="shared" si="142"/>
        <v>1.5706010654430262</v>
      </c>
      <c r="K350" s="348">
        <f t="shared" si="158"/>
        <v>4.9311688758011787</v>
      </c>
      <c r="L350" s="349">
        <f t="shared" si="159"/>
        <v>1.3665883309167106</v>
      </c>
      <c r="M350" s="337">
        <f t="shared" si="143"/>
        <v>1.0021366471429938</v>
      </c>
      <c r="N350" s="340">
        <f t="shared" si="144"/>
        <v>6.531232169148625E-2</v>
      </c>
      <c r="O350" s="341">
        <f t="shared" si="145"/>
        <v>0.99981671788955162</v>
      </c>
      <c r="P350" s="342">
        <f t="shared" si="146"/>
        <v>3.3158668737683542E-2</v>
      </c>
      <c r="Q350" s="343">
        <f t="shared" si="147"/>
        <v>7.0873797822707303</v>
      </c>
      <c r="R350" s="344">
        <f t="shared" si="148"/>
        <v>-103.9270421199986</v>
      </c>
      <c r="S350" s="346">
        <f t="shared" si="149"/>
        <v>76.072957880001397</v>
      </c>
      <c r="U350" s="319">
        <f t="shared" si="155"/>
        <v>1000000000</v>
      </c>
      <c r="V350" s="319">
        <f t="shared" si="156"/>
        <v>732879648.0625</v>
      </c>
      <c r="X350" s="345">
        <f t="shared" si="150"/>
        <v>37.360008816107737</v>
      </c>
      <c r="Y350" s="346">
        <f t="shared" si="151"/>
        <v>-15.431189056036375</v>
      </c>
      <c r="AA350" s="345">
        <f t="shared" si="152"/>
        <v>26.525417979079752</v>
      </c>
      <c r="AB350" s="346">
        <f t="shared" si="153"/>
        <v>-88.495853063962187</v>
      </c>
      <c r="AD350">
        <f t="shared" si="157"/>
        <v>0</v>
      </c>
      <c r="AE350">
        <f t="shared" si="160"/>
        <v>0</v>
      </c>
    </row>
    <row r="351" spans="1:31" x14ac:dyDescent="0.2">
      <c r="A351" s="347">
        <v>27228.5</v>
      </c>
      <c r="B351" s="364">
        <f t="shared" si="154"/>
        <v>27.2285</v>
      </c>
      <c r="C351" s="337">
        <f t="shared" si="135"/>
        <v>54.047519862074807</v>
      </c>
      <c r="D351" s="338">
        <f t="shared" si="136"/>
        <v>1.5522930343810524</v>
      </c>
      <c r="E351" s="338">
        <f t="shared" si="137"/>
        <v>1.0008425908327176</v>
      </c>
      <c r="F351" s="339">
        <f t="shared" si="138"/>
        <v>4.1036559920068653E-2</v>
      </c>
      <c r="G351" s="338">
        <f t="shared" si="139"/>
        <v>1</v>
      </c>
      <c r="H351" s="339">
        <f t="shared" si="140"/>
        <v>0</v>
      </c>
      <c r="I351" s="337">
        <f t="shared" si="141"/>
        <v>5150.9946297856122</v>
      </c>
      <c r="J351" s="340">
        <f t="shared" si="142"/>
        <v>1.5706021895305129</v>
      </c>
      <c r="K351" s="348">
        <f t="shared" si="158"/>
        <v>4.958550219158079</v>
      </c>
      <c r="L351" s="349">
        <f t="shared" si="159"/>
        <v>1.3677317823326829</v>
      </c>
      <c r="M351" s="337">
        <f t="shared" si="143"/>
        <v>1.0021614351110359</v>
      </c>
      <c r="N351" s="340">
        <f t="shared" si="144"/>
        <v>6.5689407214401446E-2</v>
      </c>
      <c r="O351" s="341">
        <f t="shared" si="145"/>
        <v>0.9998145922345546</v>
      </c>
      <c r="P351" s="342">
        <f t="shared" si="146"/>
        <v>3.3350804965446665E-2</v>
      </c>
      <c r="Q351" s="343">
        <f t="shared" si="147"/>
        <v>7.0350859445143419</v>
      </c>
      <c r="R351" s="344">
        <f t="shared" si="148"/>
        <v>-103.88682214766423</v>
      </c>
      <c r="S351" s="346">
        <f t="shared" si="149"/>
        <v>76.113177852335767</v>
      </c>
      <c r="U351" s="319">
        <f t="shared" si="155"/>
        <v>1000000000</v>
      </c>
      <c r="V351" s="319">
        <f t="shared" si="156"/>
        <v>741391212.25</v>
      </c>
      <c r="X351" s="345">
        <f t="shared" si="150"/>
        <v>37.357743052623107</v>
      </c>
      <c r="Y351" s="346">
        <f t="shared" si="151"/>
        <v>-15.387343930220123</v>
      </c>
      <c r="AA351" s="345">
        <f t="shared" si="152"/>
        <v>26.475389904807997</v>
      </c>
      <c r="AB351" s="346">
        <f t="shared" si="153"/>
        <v>-88.499478217444093</v>
      </c>
      <c r="AD351">
        <f t="shared" si="157"/>
        <v>0</v>
      </c>
      <c r="AE351">
        <f t="shared" si="160"/>
        <v>0</v>
      </c>
    </row>
    <row r="352" spans="1:31" x14ac:dyDescent="0.2">
      <c r="A352" s="347">
        <v>27385.25</v>
      </c>
      <c r="B352" s="364">
        <f t="shared" si="154"/>
        <v>27.385249999999999</v>
      </c>
      <c r="C352" s="337">
        <f t="shared" si="135"/>
        <v>54.358556342609759</v>
      </c>
      <c r="D352" s="338">
        <f t="shared" si="136"/>
        <v>1.5523989211191387</v>
      </c>
      <c r="E352" s="338">
        <f t="shared" si="137"/>
        <v>1.0008523159283904</v>
      </c>
      <c r="F352" s="339">
        <f t="shared" si="138"/>
        <v>4.1272533231023076E-2</v>
      </c>
      <c r="G352" s="338">
        <f t="shared" si="139"/>
        <v>1</v>
      </c>
      <c r="H352" s="339">
        <f t="shared" si="140"/>
        <v>0</v>
      </c>
      <c r="I352" s="337">
        <f t="shared" si="141"/>
        <v>5180.6480582842432</v>
      </c>
      <c r="J352" s="340">
        <f t="shared" si="142"/>
        <v>1.5706033007497071</v>
      </c>
      <c r="K352" s="348">
        <f t="shared" si="158"/>
        <v>4.9859379745130878</v>
      </c>
      <c r="L352" s="349">
        <f t="shared" si="159"/>
        <v>1.3688626732574016</v>
      </c>
      <c r="M352" s="337">
        <f t="shared" si="143"/>
        <v>1.0021863655728507</v>
      </c>
      <c r="N352" s="340">
        <f t="shared" si="144"/>
        <v>6.6066474030116423E-2</v>
      </c>
      <c r="O352" s="341">
        <f t="shared" si="145"/>
        <v>0.99981245437571675</v>
      </c>
      <c r="P352" s="342">
        <f t="shared" si="146"/>
        <v>3.354294365143861E-2</v>
      </c>
      <c r="Q352" s="343">
        <f t="shared" si="147"/>
        <v>6.9831132081742826</v>
      </c>
      <c r="R352" s="344">
        <f t="shared" si="148"/>
        <v>-103.84725020003964</v>
      </c>
      <c r="S352" s="346">
        <f t="shared" si="149"/>
        <v>76.152749799960361</v>
      </c>
      <c r="U352" s="319">
        <f t="shared" si="155"/>
        <v>1000000000</v>
      </c>
      <c r="V352" s="319">
        <f t="shared" si="156"/>
        <v>749951917.5625</v>
      </c>
      <c r="X352" s="345">
        <f t="shared" si="150"/>
        <v>37.355510232020045</v>
      </c>
      <c r="Y352" s="346">
        <f t="shared" si="151"/>
        <v>-15.344216658399663</v>
      </c>
      <c r="AA352" s="345">
        <f t="shared" si="152"/>
        <v>26.425649989070997</v>
      </c>
      <c r="AB352" s="346">
        <f t="shared" si="153"/>
        <v>-88.503033541640008</v>
      </c>
      <c r="AD352">
        <f t="shared" si="157"/>
        <v>0</v>
      </c>
      <c r="AE352">
        <f t="shared" si="160"/>
        <v>0</v>
      </c>
    </row>
    <row r="353" spans="1:31" x14ac:dyDescent="0.2">
      <c r="A353" s="347">
        <v>27542</v>
      </c>
      <c r="B353" s="364">
        <f t="shared" si="154"/>
        <v>27.542000000000002</v>
      </c>
      <c r="C353" s="337">
        <f t="shared" si="135"/>
        <v>54.669593425677917</v>
      </c>
      <c r="D353" s="338">
        <f t="shared" si="136"/>
        <v>1.5525036029947665</v>
      </c>
      <c r="E353" s="338">
        <f t="shared" si="137"/>
        <v>1.0008620967538417</v>
      </c>
      <c r="F353" s="339">
        <f t="shared" si="138"/>
        <v>4.1508501943065323E-2</v>
      </c>
      <c r="G353" s="338">
        <f t="shared" si="139"/>
        <v>1</v>
      </c>
      <c r="H353" s="339">
        <f t="shared" si="140"/>
        <v>0</v>
      </c>
      <c r="I353" s="337">
        <f t="shared" si="141"/>
        <v>5210.301486789198</v>
      </c>
      <c r="J353" s="340">
        <f t="shared" si="142"/>
        <v>1.5706043993203205</v>
      </c>
      <c r="K353" s="348">
        <f t="shared" si="158"/>
        <v>5.0133320367802678</v>
      </c>
      <c r="L353" s="349">
        <f t="shared" si="159"/>
        <v>1.3699812066749946</v>
      </c>
      <c r="M353" s="337">
        <f t="shared" si="143"/>
        <v>1.0022114385178045</v>
      </c>
      <c r="N353" s="340">
        <f t="shared" si="144"/>
        <v>6.6443522032808969E-2</v>
      </c>
      <c r="O353" s="341">
        <f t="shared" si="145"/>
        <v>0.99981030431422191</v>
      </c>
      <c r="P353" s="342">
        <f t="shared" si="146"/>
        <v>3.3735084809803868E-2</v>
      </c>
      <c r="Q353" s="343">
        <f t="shared" si="147"/>
        <v>6.931457544057241</v>
      </c>
      <c r="R353" s="344">
        <f t="shared" si="148"/>
        <v>-103.80831585442344</v>
      </c>
      <c r="S353" s="346">
        <f t="shared" si="149"/>
        <v>76.191684145576559</v>
      </c>
      <c r="U353" s="319">
        <f t="shared" si="155"/>
        <v>1000000000</v>
      </c>
      <c r="V353" s="319">
        <f t="shared" si="156"/>
        <v>758561764</v>
      </c>
      <c r="X353" s="345">
        <f t="shared" si="150"/>
        <v>37.353309604471832</v>
      </c>
      <c r="Y353" s="346">
        <f t="shared" si="151"/>
        <v>-15.301795616966535</v>
      </c>
      <c r="AA353" s="345">
        <f t="shared" si="152"/>
        <v>26.376194952502175</v>
      </c>
      <c r="AB353" s="346">
        <f t="shared" si="153"/>
        <v>-88.506520237456911</v>
      </c>
      <c r="AD353">
        <f t="shared" si="157"/>
        <v>0</v>
      </c>
      <c r="AE353">
        <f t="shared" si="160"/>
        <v>0</v>
      </c>
    </row>
    <row r="354" spans="1:31" x14ac:dyDescent="0.2">
      <c r="A354" s="347">
        <v>27702.5</v>
      </c>
      <c r="B354" s="364">
        <f t="shared" si="154"/>
        <v>27.702500000000001</v>
      </c>
      <c r="C354" s="337">
        <f t="shared" si="135"/>
        <v>54.98807220093709</v>
      </c>
      <c r="D354" s="338">
        <f t="shared" si="136"/>
        <v>1.5526095621293812</v>
      </c>
      <c r="E354" s="338">
        <f t="shared" si="137"/>
        <v>1.0008721693142248</v>
      </c>
      <c r="F354" s="339">
        <f t="shared" si="138"/>
        <v>4.1750111047040787E-2</v>
      </c>
      <c r="G354" s="338">
        <f t="shared" si="139"/>
        <v>1</v>
      </c>
      <c r="H354" s="339">
        <f t="shared" si="140"/>
        <v>0</v>
      </c>
      <c r="I354" s="337">
        <f t="shared" si="141"/>
        <v>5240.6643274657845</v>
      </c>
      <c r="J354" s="340">
        <f t="shared" si="142"/>
        <v>1.5706055112906814</v>
      </c>
      <c r="K354" s="348">
        <f t="shared" si="158"/>
        <v>5.0413878870496998</v>
      </c>
      <c r="L354" s="349">
        <f t="shared" si="159"/>
        <v>1.3711139022691448</v>
      </c>
      <c r="M354" s="337">
        <f t="shared" si="143"/>
        <v>1.0022372589197519</v>
      </c>
      <c r="N354" s="340">
        <f t="shared" si="144"/>
        <v>6.682957071864204E-2</v>
      </c>
      <c r="O354" s="341">
        <f t="shared" si="145"/>
        <v>0.99980809017304983</v>
      </c>
      <c r="P354" s="342">
        <f t="shared" si="146"/>
        <v>3.3931825223174159E-2</v>
      </c>
      <c r="Q354" s="343">
        <f t="shared" si="147"/>
        <v>6.8788905113577457</v>
      </c>
      <c r="R354" s="344">
        <f t="shared" si="148"/>
        <v>-103.7691000735645</v>
      </c>
      <c r="S354" s="346">
        <f t="shared" si="149"/>
        <v>76.230899926435498</v>
      </c>
      <c r="U354" s="319">
        <f t="shared" si="155"/>
        <v>1000000000</v>
      </c>
      <c r="V354" s="319">
        <f t="shared" si="156"/>
        <v>767428506.25</v>
      </c>
      <c r="X354" s="345">
        <f t="shared" si="150"/>
        <v>37.351088926065671</v>
      </c>
      <c r="Y354" s="346">
        <f t="shared" si="151"/>
        <v>-15.259079611493277</v>
      </c>
      <c r="AA354" s="345">
        <f t="shared" si="152"/>
        <v>26.325848598208839</v>
      </c>
      <c r="AB354" s="346">
        <f t="shared" si="153"/>
        <v>-88.510020462071225</v>
      </c>
      <c r="AD354">
        <f t="shared" si="157"/>
        <v>0</v>
      </c>
      <c r="AE354">
        <f t="shared" si="160"/>
        <v>0</v>
      </c>
    </row>
    <row r="355" spans="1:31" x14ac:dyDescent="0.2">
      <c r="A355" s="347">
        <v>27863</v>
      </c>
      <c r="B355" s="364">
        <f t="shared" si="154"/>
        <v>27.863</v>
      </c>
      <c r="C355" s="337">
        <f t="shared" si="135"/>
        <v>55.306551586455782</v>
      </c>
      <c r="D355" s="338">
        <f t="shared" si="136"/>
        <v>1.5527143009468034</v>
      </c>
      <c r="E355" s="338">
        <f t="shared" si="137"/>
        <v>1.0008823002993021</v>
      </c>
      <c r="F355" s="339">
        <f t="shared" si="138"/>
        <v>4.199171527395866E-2</v>
      </c>
      <c r="G355" s="338">
        <f t="shared" si="139"/>
        <v>1</v>
      </c>
      <c r="H355" s="339">
        <f t="shared" si="140"/>
        <v>0</v>
      </c>
      <c r="I355" s="337">
        <f t="shared" si="141"/>
        <v>5271.0271681487766</v>
      </c>
      <c r="J355" s="340">
        <f t="shared" si="142"/>
        <v>1.5706066104504162</v>
      </c>
      <c r="K355" s="348">
        <f t="shared" si="158"/>
        <v>5.0694501338187363</v>
      </c>
      <c r="L355" s="349">
        <f t="shared" si="159"/>
        <v>1.3722340590777609</v>
      </c>
      <c r="M355" s="337">
        <f t="shared" si="143"/>
        <v>1.0022632286810047</v>
      </c>
      <c r="N355" s="340">
        <f t="shared" si="144"/>
        <v>6.7215599456097397E-2</v>
      </c>
      <c r="O355" s="341">
        <f t="shared" si="145"/>
        <v>0.9998058632409117</v>
      </c>
      <c r="P355" s="342">
        <f t="shared" si="146"/>
        <v>3.4128568258641301E-2</v>
      </c>
      <c r="Q355" s="343">
        <f t="shared" si="147"/>
        <v>6.8266475959717665</v>
      </c>
      <c r="R355" s="344">
        <f t="shared" si="148"/>
        <v>-103.7305313458901</v>
      </c>
      <c r="S355" s="346">
        <f t="shared" si="149"/>
        <v>76.2694686541099</v>
      </c>
      <c r="U355" s="319">
        <f t="shared" si="155"/>
        <v>1000000000</v>
      </c>
      <c r="V355" s="319">
        <f t="shared" si="156"/>
        <v>776346769</v>
      </c>
      <c r="X355" s="345">
        <f t="shared" si="150"/>
        <v>37.348900472997407</v>
      </c>
      <c r="Y355" s="346">
        <f t="shared" si="151"/>
        <v>-15.217080148559518</v>
      </c>
      <c r="AA355" s="345">
        <f t="shared" si="152"/>
        <v>26.275794135891122</v>
      </c>
      <c r="AB355" s="346">
        <f t="shared" si="153"/>
        <v>-88.513451197330596</v>
      </c>
      <c r="AD355">
        <f t="shared" si="157"/>
        <v>0</v>
      </c>
      <c r="AE355">
        <f t="shared" si="160"/>
        <v>0</v>
      </c>
    </row>
    <row r="356" spans="1:31" x14ac:dyDescent="0.2">
      <c r="A356" s="347">
        <v>28023.5</v>
      </c>
      <c r="B356" s="364">
        <f t="shared" si="154"/>
        <v>28.023499999999999</v>
      </c>
      <c r="C356" s="337">
        <f t="shared" si="135"/>
        <v>55.62503157175194</v>
      </c>
      <c r="D356" s="338">
        <f t="shared" si="136"/>
        <v>1.5528178404054189</v>
      </c>
      <c r="E356" s="338">
        <f t="shared" si="137"/>
        <v>1.0008924897072993</v>
      </c>
      <c r="F356" s="339">
        <f t="shared" si="138"/>
        <v>4.2233314595761344E-2</v>
      </c>
      <c r="G356" s="338">
        <f t="shared" si="139"/>
        <v>1</v>
      </c>
      <c r="H356" s="339">
        <f t="shared" si="140"/>
        <v>0</v>
      </c>
      <c r="I356" s="337">
        <f t="shared" si="141"/>
        <v>5301.3900088380633</v>
      </c>
      <c r="J356" s="340">
        <f t="shared" si="142"/>
        <v>1.5706076970196372</v>
      </c>
      <c r="K356" s="348">
        <f t="shared" si="158"/>
        <v>5.0975186714476575</v>
      </c>
      <c r="L356" s="349">
        <f t="shared" si="159"/>
        <v>1.3733418813938065</v>
      </c>
      <c r="M356" s="337">
        <f t="shared" si="143"/>
        <v>1.0022893477899533</v>
      </c>
      <c r="N356" s="340">
        <f t="shared" si="144"/>
        <v>6.7601608131679564E-2</v>
      </c>
      <c r="O356" s="341">
        <f t="shared" si="145"/>
        <v>0.99980362351910101</v>
      </c>
      <c r="P356" s="342">
        <f t="shared" si="146"/>
        <v>3.4325313931389025E-2</v>
      </c>
      <c r="Q356" s="343">
        <f t="shared" si="147"/>
        <v>6.774724714251307</v>
      </c>
      <c r="R356" s="344">
        <f t="shared" si="148"/>
        <v>-103.69259917568884</v>
      </c>
      <c r="S356" s="346">
        <f t="shared" si="149"/>
        <v>76.307400824311159</v>
      </c>
      <c r="U356" s="319">
        <f t="shared" si="155"/>
        <v>1000000000</v>
      </c>
      <c r="V356" s="319">
        <f t="shared" si="156"/>
        <v>785316552.25</v>
      </c>
      <c r="X356" s="345">
        <f t="shared" si="150"/>
        <v>37.346743504443118</v>
      </c>
      <c r="Y356" s="346">
        <f t="shared" si="151"/>
        <v>-15.175785529149307</v>
      </c>
      <c r="AA356" s="345">
        <f t="shared" si="152"/>
        <v>26.226028222724949</v>
      </c>
      <c r="AB356" s="346">
        <f t="shared" si="153"/>
        <v>-88.516813646539546</v>
      </c>
      <c r="AD356">
        <f t="shared" si="157"/>
        <v>0</v>
      </c>
      <c r="AE356">
        <f t="shared" si="160"/>
        <v>0</v>
      </c>
    </row>
    <row r="357" spans="1:31" x14ac:dyDescent="0.2">
      <c r="A357" s="347">
        <v>28184</v>
      </c>
      <c r="B357" s="364">
        <f t="shared" si="154"/>
        <v>28.184000000000001</v>
      </c>
      <c r="C357" s="337">
        <f t="shared" si="135"/>
        <v>55.943512146582151</v>
      </c>
      <c r="D357" s="338">
        <f t="shared" si="136"/>
        <v>1.5529202009864622</v>
      </c>
      <c r="E357" s="338">
        <f t="shared" si="137"/>
        <v>1.0009027375364319</v>
      </c>
      <c r="F357" s="339">
        <f t="shared" si="138"/>
        <v>4.2474908984394655E-2</v>
      </c>
      <c r="G357" s="338">
        <f t="shared" si="139"/>
        <v>1</v>
      </c>
      <c r="H357" s="339">
        <f t="shared" si="140"/>
        <v>0</v>
      </c>
      <c r="I357" s="337">
        <f t="shared" si="141"/>
        <v>5331.7528495335382</v>
      </c>
      <c r="J357" s="340">
        <f t="shared" si="142"/>
        <v>1.5706087712134427</v>
      </c>
      <c r="K357" s="348">
        <f t="shared" si="158"/>
        <v>5.1255933965873153</v>
      </c>
      <c r="L357" s="349">
        <f t="shared" si="159"/>
        <v>1.3744375691569126</v>
      </c>
      <c r="M357" s="337">
        <f t="shared" si="143"/>
        <v>1.0023156162349223</v>
      </c>
      <c r="N357" s="340">
        <f t="shared" si="144"/>
        <v>6.7987596631928757E-2</v>
      </c>
      <c r="O357" s="341">
        <f t="shared" si="145"/>
        <v>0.99980137100891842</v>
      </c>
      <c r="P357" s="342">
        <f t="shared" si="146"/>
        <v>3.4522062256600941E-2</v>
      </c>
      <c r="Q357" s="343">
        <f t="shared" si="147"/>
        <v>6.7231178599867754</v>
      </c>
      <c r="R357" s="344">
        <f t="shared" si="148"/>
        <v>-103.65529328905289</v>
      </c>
      <c r="S357" s="346">
        <f t="shared" si="149"/>
        <v>76.344706710947108</v>
      </c>
      <c r="U357" s="319">
        <f t="shared" si="155"/>
        <v>1000000000</v>
      </c>
      <c r="V357" s="319">
        <f t="shared" si="156"/>
        <v>794337856</v>
      </c>
      <c r="X357" s="345">
        <f t="shared" si="150"/>
        <v>37.344617299819475</v>
      </c>
      <c r="Y357" s="346">
        <f t="shared" si="151"/>
        <v>-15.135184303389105</v>
      </c>
      <c r="AA357" s="345">
        <f t="shared" si="152"/>
        <v>26.176547573084058</v>
      </c>
      <c r="AB357" s="346">
        <f t="shared" si="153"/>
        <v>-88.520108985663782</v>
      </c>
      <c r="AD357">
        <f t="shared" si="157"/>
        <v>0</v>
      </c>
      <c r="AE357">
        <f t="shared" si="160"/>
        <v>0</v>
      </c>
    </row>
    <row r="358" spans="1:31" x14ac:dyDescent="0.2">
      <c r="A358" s="347">
        <v>28348</v>
      </c>
      <c r="B358" s="364">
        <f t="shared" si="154"/>
        <v>28.347999999999999</v>
      </c>
      <c r="C358" s="337">
        <f t="shared" si="135"/>
        <v>56.268938379219428</v>
      </c>
      <c r="D358" s="338">
        <f t="shared" si="136"/>
        <v>1.5530235968352746</v>
      </c>
      <c r="E358" s="338">
        <f t="shared" si="137"/>
        <v>1.0009132691826053</v>
      </c>
      <c r="F358" s="339">
        <f t="shared" si="138"/>
        <v>4.2721766661594038E-2</v>
      </c>
      <c r="G358" s="338">
        <f t="shared" si="139"/>
        <v>1</v>
      </c>
      <c r="H358" s="339">
        <f t="shared" si="140"/>
        <v>0</v>
      </c>
      <c r="I358" s="337">
        <f t="shared" si="141"/>
        <v>5362.777808256692</v>
      </c>
      <c r="J358" s="340">
        <f t="shared" si="142"/>
        <v>1.5706098562675785</v>
      </c>
      <c r="K358" s="348">
        <f t="shared" si="158"/>
        <v>5.1542866293263412</v>
      </c>
      <c r="L358" s="349">
        <f t="shared" si="159"/>
        <v>1.3755448196536175</v>
      </c>
      <c r="M358" s="337">
        <f t="shared" si="143"/>
        <v>1.0023426117561589</v>
      </c>
      <c r="N358" s="340">
        <f t="shared" si="144"/>
        <v>6.8381981368804162E-2</v>
      </c>
      <c r="O358" s="341">
        <f t="shared" si="145"/>
        <v>0.99979905617021336</v>
      </c>
      <c r="P358" s="342">
        <f t="shared" si="146"/>
        <v>3.472310379938881E-2</v>
      </c>
      <c r="Q358" s="343">
        <f t="shared" si="147"/>
        <v>6.6707079732239851</v>
      </c>
      <c r="R358" s="344">
        <f t="shared" si="148"/>
        <v>-103.61781033325568</v>
      </c>
      <c r="S358" s="346">
        <f t="shared" si="149"/>
        <v>76.382189666744324</v>
      </c>
      <c r="U358" s="319">
        <f t="shared" si="155"/>
        <v>1000000000</v>
      </c>
      <c r="V358" s="319">
        <f t="shared" si="156"/>
        <v>803609104</v>
      </c>
      <c r="X358" s="345">
        <f t="shared" si="150"/>
        <v>37.342475777655061</v>
      </c>
      <c r="Y358" s="346">
        <f t="shared" si="151"/>
        <v>-15.09440227296742</v>
      </c>
      <c r="AA358" s="345">
        <f t="shared" si="152"/>
        <v>26.126279208485688</v>
      </c>
      <c r="AB358" s="346">
        <f t="shared" si="153"/>
        <v>-88.52340806028829</v>
      </c>
      <c r="AD358">
        <f t="shared" si="157"/>
        <v>0</v>
      </c>
      <c r="AE358">
        <f t="shared" si="160"/>
        <v>0</v>
      </c>
    </row>
    <row r="359" spans="1:31" x14ac:dyDescent="0.2">
      <c r="A359" s="347">
        <v>28512</v>
      </c>
      <c r="B359" s="364">
        <f t="shared" si="154"/>
        <v>28.512</v>
      </c>
      <c r="C359" s="337">
        <f t="shared" si="135"/>
        <v>56.594365206493059</v>
      </c>
      <c r="D359" s="338">
        <f t="shared" si="136"/>
        <v>1.5531258035991917</v>
      </c>
      <c r="E359" s="338">
        <f t="shared" si="137"/>
        <v>1.000923861821859</v>
      </c>
      <c r="F359" s="339">
        <f t="shared" si="138"/>
        <v>4.2968619128914497E-2</v>
      </c>
      <c r="G359" s="338">
        <f t="shared" si="139"/>
        <v>1</v>
      </c>
      <c r="H359" s="339">
        <f t="shared" si="140"/>
        <v>0</v>
      </c>
      <c r="I359" s="337">
        <f t="shared" si="141"/>
        <v>5393.8027669860858</v>
      </c>
      <c r="J359" s="340">
        <f t="shared" si="142"/>
        <v>1.57061092883933</v>
      </c>
      <c r="K359" s="348">
        <f t="shared" si="158"/>
        <v>5.1829861112687237</v>
      </c>
      <c r="L359" s="349">
        <f t="shared" si="159"/>
        <v>1.3766398092381738</v>
      </c>
      <c r="M359" s="337">
        <f t="shared" si="143"/>
        <v>1.0023697631726729</v>
      </c>
      <c r="N359" s="340">
        <f t="shared" si="144"/>
        <v>6.8776344801438669E-2</v>
      </c>
      <c r="O359" s="341">
        <f t="shared" si="145"/>
        <v>0.99979672798207642</v>
      </c>
      <c r="P359" s="342">
        <f t="shared" si="146"/>
        <v>3.4924148143637354E-2</v>
      </c>
      <c r="Q359" s="343">
        <f t="shared" si="147"/>
        <v>6.6186198294113074</v>
      </c>
      <c r="R359" s="344">
        <f t="shared" si="148"/>
        <v>-103.58096026961728</v>
      </c>
      <c r="S359" s="346">
        <f t="shared" si="149"/>
        <v>76.419039730382721</v>
      </c>
      <c r="U359" s="319">
        <f t="shared" si="155"/>
        <v>1000000000</v>
      </c>
      <c r="V359" s="319">
        <f t="shared" si="156"/>
        <v>812934144</v>
      </c>
      <c r="X359" s="345">
        <f t="shared" si="150"/>
        <v>37.340364916516762</v>
      </c>
      <c r="Y359" s="346">
        <f t="shared" si="151"/>
        <v>-15.054320805234591</v>
      </c>
      <c r="AA359" s="345">
        <f t="shared" si="152"/>
        <v>26.076301925811308</v>
      </c>
      <c r="AB359" s="346">
        <f t="shared" si="153"/>
        <v>-88.526639464382683</v>
      </c>
      <c r="AD359">
        <f t="shared" si="157"/>
        <v>0</v>
      </c>
      <c r="AE359">
        <f t="shared" si="160"/>
        <v>0</v>
      </c>
    </row>
    <row r="360" spans="1:31" x14ac:dyDescent="0.2">
      <c r="A360" s="347">
        <v>28676</v>
      </c>
      <c r="B360" s="364">
        <f t="shared" si="154"/>
        <v>28.675999999999998</v>
      </c>
      <c r="C360" s="337">
        <f t="shared" si="135"/>
        <v>56.919792618203942</v>
      </c>
      <c r="D360" s="338">
        <f t="shared" si="136"/>
        <v>1.5532268416711175</v>
      </c>
      <c r="E360" s="338">
        <f t="shared" si="137"/>
        <v>1.0009345154522569</v>
      </c>
      <c r="F360" s="339">
        <f t="shared" si="138"/>
        <v>4.3215466356437429E-2</v>
      </c>
      <c r="G360" s="338">
        <f t="shared" si="139"/>
        <v>1</v>
      </c>
      <c r="H360" s="339">
        <f t="shared" si="140"/>
        <v>0</v>
      </c>
      <c r="I360" s="337">
        <f t="shared" si="141"/>
        <v>5424.827725721615</v>
      </c>
      <c r="J360" s="340">
        <f t="shared" si="142"/>
        <v>1.5706119891428598</v>
      </c>
      <c r="K360" s="348">
        <f t="shared" si="158"/>
        <v>5.2116917391760662</v>
      </c>
      <c r="L360" s="349">
        <f t="shared" si="159"/>
        <v>1.3777227378595647</v>
      </c>
      <c r="M360" s="337">
        <f t="shared" si="143"/>
        <v>1.0023970704717959</v>
      </c>
      <c r="N360" s="340">
        <f t="shared" si="144"/>
        <v>6.9170686808903675E-2</v>
      </c>
      <c r="O360" s="341">
        <f t="shared" si="145"/>
        <v>0.99979438644591923</v>
      </c>
      <c r="P360" s="342">
        <f t="shared" si="146"/>
        <v>3.5125195305544872E-2</v>
      </c>
      <c r="Q360" s="343">
        <f t="shared" si="147"/>
        <v>6.5668493925608784</v>
      </c>
      <c r="R360" s="344">
        <f t="shared" si="148"/>
        <v>-103.54473281831629</v>
      </c>
      <c r="S360" s="346">
        <f t="shared" si="149"/>
        <v>76.455267181683709</v>
      </c>
      <c r="U360" s="319">
        <f t="shared" si="155"/>
        <v>1000000000</v>
      </c>
      <c r="V360" s="319">
        <f t="shared" si="156"/>
        <v>822312976</v>
      </c>
      <c r="X360" s="345">
        <f t="shared" si="150"/>
        <v>37.338284008959313</v>
      </c>
      <c r="Y360" s="346">
        <f t="shared" si="151"/>
        <v>-15.014928449299685</v>
      </c>
      <c r="AA360" s="345">
        <f t="shared" si="152"/>
        <v>26.026612396518331</v>
      </c>
      <c r="AB360" s="346">
        <f t="shared" si="153"/>
        <v>-88.529804369016603</v>
      </c>
      <c r="AD360">
        <f t="shared" si="157"/>
        <v>0</v>
      </c>
      <c r="AE360">
        <f t="shared" si="160"/>
        <v>0</v>
      </c>
    </row>
    <row r="361" spans="1:31" x14ac:dyDescent="0.2">
      <c r="A361" s="347">
        <v>28840</v>
      </c>
      <c r="B361" s="364">
        <f t="shared" si="154"/>
        <v>28.84</v>
      </c>
      <c r="C361" s="337">
        <f t="shared" si="135"/>
        <v>57.245220604384834</v>
      </c>
      <c r="D361" s="338">
        <f t="shared" si="136"/>
        <v>1.5533267309803338</v>
      </c>
      <c r="E361" s="338">
        <f t="shared" si="137"/>
        <v>1.0009452300718513</v>
      </c>
      <c r="F361" s="339">
        <f t="shared" si="138"/>
        <v>4.3462308314248077E-2</v>
      </c>
      <c r="G361" s="338">
        <f t="shared" si="139"/>
        <v>1</v>
      </c>
      <c r="H361" s="339">
        <f t="shared" si="140"/>
        <v>0</v>
      </c>
      <c r="I361" s="337">
        <f t="shared" si="141"/>
        <v>5455.8526844631742</v>
      </c>
      <c r="J361" s="340">
        <f t="shared" si="142"/>
        <v>1.5706130373874596</v>
      </c>
      <c r="K361" s="348">
        <f t="shared" si="158"/>
        <v>5.2404034120501652</v>
      </c>
      <c r="L361" s="349">
        <f t="shared" si="159"/>
        <v>1.3787938011993355</v>
      </c>
      <c r="M361" s="337">
        <f t="shared" si="143"/>
        <v>1.0024245336407891</v>
      </c>
      <c r="N361" s="340">
        <f t="shared" si="144"/>
        <v>6.9565007270310342E-2</v>
      </c>
      <c r="O361" s="341">
        <f t="shared" si="145"/>
        <v>0.9997920315631621</v>
      </c>
      <c r="P361" s="342">
        <f t="shared" si="146"/>
        <v>3.532624530130947E-2</v>
      </c>
      <c r="Q361" s="343">
        <f t="shared" si="147"/>
        <v>6.5153927028941192</v>
      </c>
      <c r="R361" s="344">
        <f t="shared" si="148"/>
        <v>-103.50911791719697</v>
      </c>
      <c r="S361" s="346">
        <f t="shared" si="149"/>
        <v>76.490882082803026</v>
      </c>
      <c r="U361" s="319">
        <f t="shared" si="155"/>
        <v>1000000000</v>
      </c>
      <c r="V361" s="319">
        <f t="shared" si="156"/>
        <v>831745600</v>
      </c>
      <c r="X361" s="345">
        <f t="shared" si="150"/>
        <v>37.336232366872039</v>
      </c>
      <c r="Y361" s="346">
        <f t="shared" si="151"/>
        <v>-14.976213998501116</v>
      </c>
      <c r="AA361" s="345">
        <f t="shared" si="152"/>
        <v>25.97720734893884</v>
      </c>
      <c r="AB361" s="346">
        <f t="shared" si="153"/>
        <v>-88.532903918695865</v>
      </c>
      <c r="AD361">
        <f t="shared" si="157"/>
        <v>0</v>
      </c>
      <c r="AE361">
        <f t="shared" si="160"/>
        <v>0</v>
      </c>
    </row>
    <row r="362" spans="1:31" x14ac:dyDescent="0.2">
      <c r="A362" s="347">
        <v>29008</v>
      </c>
      <c r="B362" s="364">
        <f t="shared" si="154"/>
        <v>29.007999999999999</v>
      </c>
      <c r="C362" s="337">
        <f t="shared" si="135"/>
        <v>57.578586443997558</v>
      </c>
      <c r="D362" s="338">
        <f t="shared" si="136"/>
        <v>1.5534278858404507</v>
      </c>
      <c r="E362" s="338">
        <f t="shared" si="137"/>
        <v>1.000956269260233</v>
      </c>
      <c r="F362" s="339">
        <f t="shared" si="138"/>
        <v>4.3715165312274776E-2</v>
      </c>
      <c r="G362" s="338">
        <f t="shared" si="139"/>
        <v>1</v>
      </c>
      <c r="H362" s="339">
        <f t="shared" si="140"/>
        <v>0</v>
      </c>
      <c r="I362" s="337">
        <f t="shared" si="141"/>
        <v>5487.6343495216461</v>
      </c>
      <c r="J362" s="340">
        <f t="shared" si="142"/>
        <v>1.5706140989091006</v>
      </c>
      <c r="K362" s="348">
        <f t="shared" si="158"/>
        <v>5.2698215342686314</v>
      </c>
      <c r="L362" s="349">
        <f t="shared" si="159"/>
        <v>1.3798788853071036</v>
      </c>
      <c r="M362" s="337">
        <f t="shared" si="143"/>
        <v>1.0024528282485694</v>
      </c>
      <c r="N362" s="340">
        <f t="shared" si="144"/>
        <v>6.9968922836884467E-2</v>
      </c>
      <c r="O362" s="341">
        <f t="shared" si="145"/>
        <v>0.99978960540687289</v>
      </c>
      <c r="P362" s="342">
        <f t="shared" si="146"/>
        <v>3.5532201910817025E-2</v>
      </c>
      <c r="Q362" s="343">
        <f t="shared" si="147"/>
        <v>6.4630022299948493</v>
      </c>
      <c r="R362" s="344">
        <f t="shared" si="148"/>
        <v>-103.47325920756064</v>
      </c>
      <c r="S362" s="346">
        <f t="shared" si="149"/>
        <v>76.526740792439355</v>
      </c>
      <c r="U362" s="319">
        <f t="shared" si="155"/>
        <v>1000000000</v>
      </c>
      <c r="V362" s="319">
        <f t="shared" si="156"/>
        <v>841464064</v>
      </c>
      <c r="X362" s="345">
        <f t="shared" si="150"/>
        <v>37.334160329977777</v>
      </c>
      <c r="Y362" s="346">
        <f t="shared" si="151"/>
        <v>-14.937246736618981</v>
      </c>
      <c r="AA362" s="345">
        <f t="shared" si="152"/>
        <v>25.926888912933833</v>
      </c>
      <c r="AB362" s="346">
        <f t="shared" si="153"/>
        <v>-88.536012470941671</v>
      </c>
      <c r="AD362">
        <f t="shared" si="157"/>
        <v>0</v>
      </c>
      <c r="AE362">
        <f t="shared" si="160"/>
        <v>0</v>
      </c>
    </row>
    <row r="363" spans="1:31" x14ac:dyDescent="0.2">
      <c r="A363" s="347">
        <v>29176</v>
      </c>
      <c r="B363" s="364">
        <f t="shared" si="154"/>
        <v>29.175999999999998</v>
      </c>
      <c r="C363" s="337">
        <f t="shared" si="135"/>
        <v>57.911952865989051</v>
      </c>
      <c r="D363" s="338">
        <f t="shared" si="136"/>
        <v>1.5535278761187228</v>
      </c>
      <c r="E363" s="338">
        <f t="shared" si="137"/>
        <v>1.0009673724450028</v>
      </c>
      <c r="F363" s="339">
        <f t="shared" si="138"/>
        <v>4.3968016716858294E-2</v>
      </c>
      <c r="G363" s="338">
        <f t="shared" si="139"/>
        <v>1</v>
      </c>
      <c r="H363" s="339">
        <f t="shared" si="140"/>
        <v>0</v>
      </c>
      <c r="I363" s="337">
        <f t="shared" si="141"/>
        <v>5519.4160145862315</v>
      </c>
      <c r="J363" s="340">
        <f t="shared" si="142"/>
        <v>1.5706151482059247</v>
      </c>
      <c r="K363" s="348">
        <f t="shared" si="158"/>
        <v>5.2992457923207823</v>
      </c>
      <c r="L363" s="349">
        <f t="shared" si="159"/>
        <v>1.3809519207274095</v>
      </c>
      <c r="M363" s="337">
        <f t="shared" si="143"/>
        <v>1.0024812863950601</v>
      </c>
      <c r="N363" s="340">
        <f t="shared" si="144"/>
        <v>7.037281553687498E-2</v>
      </c>
      <c r="O363" s="341">
        <f t="shared" si="145"/>
        <v>0.99978716524803324</v>
      </c>
      <c r="P363" s="342">
        <f t="shared" si="146"/>
        <v>3.5738161528514355E-2</v>
      </c>
      <c r="Q363" s="343">
        <f t="shared" si="147"/>
        <v>6.4109328206626675</v>
      </c>
      <c r="R363" s="344">
        <f t="shared" si="148"/>
        <v>-103.4380225934888</v>
      </c>
      <c r="S363" s="346">
        <f t="shared" si="149"/>
        <v>76.561977406511204</v>
      </c>
      <c r="U363" s="319">
        <f t="shared" si="155"/>
        <v>1000000000</v>
      </c>
      <c r="V363" s="319">
        <f t="shared" si="156"/>
        <v>851238976</v>
      </c>
      <c r="X363" s="345">
        <f t="shared" si="150"/>
        <v>37.332117601274803</v>
      </c>
      <c r="Y363" s="346">
        <f t="shared" si="151"/>
        <v>-14.898967803088745</v>
      </c>
      <c r="AA363" s="345">
        <f t="shared" si="152"/>
        <v>25.876862232304624</v>
      </c>
      <c r="AB363" s="346">
        <f t="shared" si="153"/>
        <v>-88.539054790400073</v>
      </c>
      <c r="AD363">
        <f t="shared" si="157"/>
        <v>0</v>
      </c>
      <c r="AE363">
        <f t="shared" si="160"/>
        <v>0</v>
      </c>
    </row>
    <row r="364" spans="1:31" x14ac:dyDescent="0.2">
      <c r="A364" s="347">
        <v>29344</v>
      </c>
      <c r="B364" s="364">
        <f t="shared" si="154"/>
        <v>29.344000000000001</v>
      </c>
      <c r="C364" s="337">
        <f t="shared" si="135"/>
        <v>58.245319860359587</v>
      </c>
      <c r="D364" s="338">
        <f t="shared" si="136"/>
        <v>1.5536267218095807</v>
      </c>
      <c r="E364" s="338">
        <f t="shared" si="137"/>
        <v>1.0009785396240312</v>
      </c>
      <c r="F364" s="339">
        <f t="shared" si="138"/>
        <v>4.4220862495853781E-2</v>
      </c>
      <c r="G364" s="338">
        <f t="shared" si="139"/>
        <v>1</v>
      </c>
      <c r="H364" s="339">
        <f t="shared" si="140"/>
        <v>0</v>
      </c>
      <c r="I364" s="337">
        <f t="shared" si="141"/>
        <v>5551.1976796568242</v>
      </c>
      <c r="J364" s="340">
        <f t="shared" si="142"/>
        <v>1.5706161854879002</v>
      </c>
      <c r="K364" s="348">
        <f t="shared" si="158"/>
        <v>5.3286760845627876</v>
      </c>
      <c r="L364" s="349">
        <f t="shared" si="159"/>
        <v>1.3820131046033639</v>
      </c>
      <c r="M364" s="337">
        <f t="shared" si="143"/>
        <v>1.0025099080663347</v>
      </c>
      <c r="N364" s="340">
        <f t="shared" si="144"/>
        <v>7.0776685240461407E-2</v>
      </c>
      <c r="O364" s="341">
        <f t="shared" si="145"/>
        <v>0.99978471108819644</v>
      </c>
      <c r="P364" s="342">
        <f t="shared" si="146"/>
        <v>3.594412417181346E-2</v>
      </c>
      <c r="Q364" s="343">
        <f t="shared" si="147"/>
        <v>6.3591804546588708</v>
      </c>
      <c r="R364" s="344">
        <f t="shared" si="148"/>
        <v>-103.40339793254125</v>
      </c>
      <c r="S364" s="346">
        <f t="shared" si="149"/>
        <v>76.596602067458747</v>
      </c>
      <c r="U364" s="319">
        <f t="shared" si="155"/>
        <v>1000000000</v>
      </c>
      <c r="V364" s="319">
        <f t="shared" si="156"/>
        <v>861070336</v>
      </c>
      <c r="X364" s="345">
        <f t="shared" si="150"/>
        <v>37.330103500149512</v>
      </c>
      <c r="Y364" s="346">
        <f t="shared" si="151"/>
        <v>-14.861365907034312</v>
      </c>
      <c r="AA364" s="345">
        <f t="shared" si="152"/>
        <v>25.827123967426125</v>
      </c>
      <c r="AB364" s="346">
        <f t="shared" si="153"/>
        <v>-88.542032025506956</v>
      </c>
      <c r="AD364">
        <f t="shared" si="157"/>
        <v>0</v>
      </c>
      <c r="AE364">
        <f t="shared" si="160"/>
        <v>0</v>
      </c>
    </row>
    <row r="365" spans="1:31" x14ac:dyDescent="0.2">
      <c r="A365" s="347">
        <v>29512</v>
      </c>
      <c r="B365" s="364">
        <f t="shared" si="154"/>
        <v>29.512</v>
      </c>
      <c r="C365" s="337">
        <f t="shared" si="135"/>
        <v>58.578687417337079</v>
      </c>
      <c r="D365" s="338">
        <f t="shared" si="136"/>
        <v>1.553724442452397</v>
      </c>
      <c r="E365" s="338">
        <f t="shared" si="137"/>
        <v>1.0009897707951763</v>
      </c>
      <c r="F365" s="339">
        <f t="shared" si="138"/>
        <v>4.4473702617120706E-2</v>
      </c>
      <c r="G365" s="338">
        <f t="shared" si="139"/>
        <v>1</v>
      </c>
      <c r="H365" s="339">
        <f t="shared" si="140"/>
        <v>0</v>
      </c>
      <c r="I365" s="337">
        <f t="shared" si="141"/>
        <v>5582.9793447333223</v>
      </c>
      <c r="J365" s="340">
        <f t="shared" si="142"/>
        <v>1.5706172109602141</v>
      </c>
      <c r="K365" s="348">
        <f t="shared" si="158"/>
        <v>5.3581123115633771</v>
      </c>
      <c r="L365" s="349">
        <f t="shared" si="159"/>
        <v>1.383062629853951</v>
      </c>
      <c r="M365" s="337">
        <f t="shared" si="143"/>
        <v>1.0025386932483873</v>
      </c>
      <c r="N365" s="340">
        <f t="shared" si="144"/>
        <v>7.1180531817867987E-2</v>
      </c>
      <c r="O365" s="341">
        <f t="shared" si="145"/>
        <v>0.99978224292892437</v>
      </c>
      <c r="P365" s="342">
        <f t="shared" si="146"/>
        <v>3.6150089858126171E-2</v>
      </c>
      <c r="Q365" s="343">
        <f t="shared" si="147"/>
        <v>6.3077411875251279</v>
      </c>
      <c r="R365" s="344">
        <f t="shared" si="148"/>
        <v>-103.36937529795787</v>
      </c>
      <c r="S365" s="346">
        <f t="shared" si="149"/>
        <v>76.630624702042127</v>
      </c>
      <c r="U365" s="319">
        <f t="shared" si="155"/>
        <v>1000000000</v>
      </c>
      <c r="V365" s="319">
        <f t="shared" si="156"/>
        <v>870958144</v>
      </c>
      <c r="X365" s="345">
        <f t="shared" si="150"/>
        <v>37.32811736464059</v>
      </c>
      <c r="Y365" s="346">
        <f t="shared" si="151"/>
        <v>-14.824429999332851</v>
      </c>
      <c r="AA365" s="345">
        <f t="shared" si="152"/>
        <v>25.777670835801295</v>
      </c>
      <c r="AB365" s="346">
        <f t="shared" si="153"/>
        <v>-88.544945298625024</v>
      </c>
      <c r="AD365">
        <f t="shared" si="157"/>
        <v>0</v>
      </c>
      <c r="AE365">
        <f t="shared" si="160"/>
        <v>0</v>
      </c>
    </row>
    <row r="366" spans="1:31" x14ac:dyDescent="0.2">
      <c r="A366" s="347">
        <v>29684</v>
      </c>
      <c r="B366" s="364">
        <f t="shared" si="154"/>
        <v>29.684000000000001</v>
      </c>
      <c r="C366" s="337">
        <f t="shared" si="135"/>
        <v>58.91999286998734</v>
      </c>
      <c r="D366" s="338">
        <f t="shared" si="136"/>
        <v>1.5538233441689424</v>
      </c>
      <c r="E366" s="338">
        <f t="shared" si="137"/>
        <v>1.0010013356685965</v>
      </c>
      <c r="F366" s="339">
        <f t="shared" si="138"/>
        <v>4.473255684632374E-2</v>
      </c>
      <c r="G366" s="338">
        <f t="shared" si="139"/>
        <v>1</v>
      </c>
      <c r="H366" s="339">
        <f t="shared" si="140"/>
        <v>0</v>
      </c>
      <c r="I366" s="337">
        <f t="shared" si="141"/>
        <v>5615.5177161271786</v>
      </c>
      <c r="J366" s="340">
        <f t="shared" si="142"/>
        <v>1.5706182488231339</v>
      </c>
      <c r="K366" s="348">
        <f t="shared" si="158"/>
        <v>5.388255447941467</v>
      </c>
      <c r="L366" s="349">
        <f t="shared" si="159"/>
        <v>1.3841252626214218</v>
      </c>
      <c r="M366" s="337">
        <f t="shared" si="143"/>
        <v>1.0025683331740056</v>
      </c>
      <c r="N366" s="340">
        <f t="shared" si="144"/>
        <v>7.1593969695837797E-2</v>
      </c>
      <c r="O366" s="341">
        <f t="shared" si="145"/>
        <v>0.99977970150221285</v>
      </c>
      <c r="P366" s="342">
        <f t="shared" si="146"/>
        <v>3.6360962660087863E-2</v>
      </c>
      <c r="Q366" s="343">
        <f t="shared" si="147"/>
        <v>6.2553975043688972</v>
      </c>
      <c r="R366" s="344">
        <f t="shared" si="148"/>
        <v>-103.33515615350264</v>
      </c>
      <c r="S366" s="346">
        <f t="shared" si="149"/>
        <v>76.664843846497362</v>
      </c>
      <c r="U366" s="319">
        <f t="shared" si="155"/>
        <v>1000000000</v>
      </c>
      <c r="V366" s="319">
        <f t="shared" si="156"/>
        <v>881139856</v>
      </c>
      <c r="X366" s="345">
        <f t="shared" si="150"/>
        <v>37.326112240226216</v>
      </c>
      <c r="Y366" s="346">
        <f t="shared" si="151"/>
        <v>-14.787293337205574</v>
      </c>
      <c r="AA366" s="345">
        <f t="shared" si="152"/>
        <v>25.727332277059443</v>
      </c>
      <c r="AB366" s="346">
        <f t="shared" si="153"/>
        <v>-88.547862816297055</v>
      </c>
      <c r="AD366">
        <f t="shared" si="157"/>
        <v>0</v>
      </c>
      <c r="AE366">
        <f t="shared" si="160"/>
        <v>0</v>
      </c>
    </row>
    <row r="367" spans="1:31" x14ac:dyDescent="0.2">
      <c r="A367" s="347">
        <v>29856</v>
      </c>
      <c r="B367" s="364">
        <f t="shared" si="154"/>
        <v>29.856000000000002</v>
      </c>
      <c r="C367" s="337">
        <f t="shared" si="135"/>
        <v>59.2612988923279</v>
      </c>
      <c r="D367" s="338">
        <f t="shared" si="136"/>
        <v>1.553921106669033</v>
      </c>
      <c r="E367" s="338">
        <f t="shared" si="137"/>
        <v>1.0010129676130717</v>
      </c>
      <c r="F367" s="339">
        <f t="shared" si="138"/>
        <v>4.4991405077008523E-2</v>
      </c>
      <c r="G367" s="338">
        <f t="shared" si="139"/>
        <v>1</v>
      </c>
      <c r="H367" s="339">
        <f t="shared" si="140"/>
        <v>0</v>
      </c>
      <c r="I367" s="337">
        <f t="shared" si="141"/>
        <v>5648.0560875270121</v>
      </c>
      <c r="J367" s="340">
        <f t="shared" si="142"/>
        <v>1.5706192747278265</v>
      </c>
      <c r="K367" s="348">
        <f t="shared" si="158"/>
        <v>5.4184046009753377</v>
      </c>
      <c r="L367" s="349">
        <f t="shared" si="159"/>
        <v>1.3851760711360381</v>
      </c>
      <c r="M367" s="337">
        <f t="shared" si="143"/>
        <v>1.0025981444593608</v>
      </c>
      <c r="N367" s="340">
        <f t="shared" si="144"/>
        <v>7.2007383058119004E-2</v>
      </c>
      <c r="O367" s="341">
        <f t="shared" si="145"/>
        <v>0.99977714540483309</v>
      </c>
      <c r="P367" s="342">
        <f t="shared" si="146"/>
        <v>3.6571838688629267E-2</v>
      </c>
      <c r="Q367" s="343">
        <f t="shared" si="147"/>
        <v>6.2033738747809455</v>
      </c>
      <c r="R367" s="344">
        <f t="shared" si="148"/>
        <v>-103.30154765529547</v>
      </c>
      <c r="S367" s="346">
        <f t="shared" si="149"/>
        <v>76.698452344704535</v>
      </c>
      <c r="U367" s="319">
        <f t="shared" si="155"/>
        <v>1000000000</v>
      </c>
      <c r="V367" s="319">
        <f t="shared" si="156"/>
        <v>891380736</v>
      </c>
      <c r="X367" s="345">
        <f t="shared" si="150"/>
        <v>37.324135082050951</v>
      </c>
      <c r="Y367" s="346">
        <f t="shared" si="151"/>
        <v>-14.750832065062065</v>
      </c>
      <c r="AA367" s="345">
        <f t="shared" si="152"/>
        <v>25.677285805646758</v>
      </c>
      <c r="AB367" s="346">
        <f t="shared" si="153"/>
        <v>-88.550715590233395</v>
      </c>
      <c r="AD367">
        <f t="shared" si="157"/>
        <v>0</v>
      </c>
      <c r="AE367">
        <f t="shared" si="160"/>
        <v>0</v>
      </c>
    </row>
    <row r="368" spans="1:31" x14ac:dyDescent="0.2">
      <c r="A368" s="347">
        <v>30028</v>
      </c>
      <c r="B368" s="364">
        <f t="shared" si="154"/>
        <v>30.027999999999999</v>
      </c>
      <c r="C368" s="337">
        <f t="shared" si="135"/>
        <v>59.602605474571988</v>
      </c>
      <c r="D368" s="338">
        <f t="shared" si="136"/>
        <v>1.5540177495215095</v>
      </c>
      <c r="E368" s="338">
        <f t="shared" si="137"/>
        <v>1.001024666626263</v>
      </c>
      <c r="F368" s="339">
        <f t="shared" si="138"/>
        <v>4.5250247274697869E-2</v>
      </c>
      <c r="G368" s="338">
        <f t="shared" si="139"/>
        <v>1</v>
      </c>
      <c r="H368" s="339">
        <f t="shared" si="140"/>
        <v>0</v>
      </c>
      <c r="I368" s="337">
        <f t="shared" si="141"/>
        <v>5680.5944589327237</v>
      </c>
      <c r="J368" s="340">
        <f t="shared" si="142"/>
        <v>1.5706202888797816</v>
      </c>
      <c r="K368" s="348">
        <f t="shared" si="158"/>
        <v>5.4485596707869908</v>
      </c>
      <c r="L368" s="349">
        <f t="shared" si="159"/>
        <v>1.3862152493818127</v>
      </c>
      <c r="M368" s="337">
        <f t="shared" si="143"/>
        <v>1.0026281270891675</v>
      </c>
      <c r="N368" s="340">
        <f t="shared" si="144"/>
        <v>7.2420771765591252E-2</v>
      </c>
      <c r="O368" s="341">
        <f t="shared" si="145"/>
        <v>0.9997745746384904</v>
      </c>
      <c r="P368" s="342">
        <f t="shared" si="146"/>
        <v>3.6782717962435173E-2</v>
      </c>
      <c r="Q368" s="343">
        <f t="shared" si="147"/>
        <v>6.1516663004188583</v>
      </c>
      <c r="R368" s="344">
        <f t="shared" si="148"/>
        <v>-103.26853981693178</v>
      </c>
      <c r="S368" s="346">
        <f t="shared" si="149"/>
        <v>76.731460183068222</v>
      </c>
      <c r="U368" s="319">
        <f t="shared" si="155"/>
        <v>1000000000</v>
      </c>
      <c r="V368" s="319">
        <f t="shared" si="156"/>
        <v>901680784</v>
      </c>
      <c r="X368" s="345">
        <f t="shared" si="150"/>
        <v>37.322185236611986</v>
      </c>
      <c r="Y368" s="346">
        <f t="shared" si="151"/>
        <v>-14.715035072239816</v>
      </c>
      <c r="AA368" s="345">
        <f t="shared" si="152"/>
        <v>25.627528076723635</v>
      </c>
      <c r="AB368" s="346">
        <f t="shared" si="153"/>
        <v>-88.553504744691963</v>
      </c>
      <c r="AD368">
        <f t="shared" si="157"/>
        <v>0</v>
      </c>
      <c r="AE368">
        <f t="shared" si="160"/>
        <v>0</v>
      </c>
    </row>
    <row r="369" spans="1:31" x14ac:dyDescent="0.2">
      <c r="A369" s="347">
        <v>30200</v>
      </c>
      <c r="B369" s="364">
        <f t="shared" si="154"/>
        <v>30.2</v>
      </c>
      <c r="C369" s="337">
        <f t="shared" si="135"/>
        <v>59.943912607155731</v>
      </c>
      <c r="D369" s="338">
        <f t="shared" si="136"/>
        <v>1.5541132918496143</v>
      </c>
      <c r="E369" s="338">
        <f t="shared" si="137"/>
        <v>1.0010364327058194</v>
      </c>
      <c r="F369" s="339">
        <f t="shared" si="138"/>
        <v>4.5509083404919437E-2</v>
      </c>
      <c r="G369" s="338">
        <f t="shared" si="139"/>
        <v>1</v>
      </c>
      <c r="H369" s="339">
        <f t="shared" si="140"/>
        <v>0</v>
      </c>
      <c r="I369" s="337">
        <f t="shared" si="141"/>
        <v>5713.1328303442106</v>
      </c>
      <c r="J369" s="340">
        <f t="shared" si="142"/>
        <v>1.5706212914798074</v>
      </c>
      <c r="K369" s="348">
        <f t="shared" si="158"/>
        <v>5.4787205596779724</v>
      </c>
      <c r="L369" s="349">
        <f t="shared" si="159"/>
        <v>1.3872429871728928</v>
      </c>
      <c r="M369" s="337">
        <f t="shared" si="143"/>
        <v>1.0026582810480547</v>
      </c>
      <c r="N369" s="340">
        <f t="shared" si="144"/>
        <v>7.2834135679184522E-2</v>
      </c>
      <c r="O369" s="341">
        <f t="shared" si="145"/>
        <v>0.99977198920490062</v>
      </c>
      <c r="P369" s="342">
        <f t="shared" si="146"/>
        <v>3.6993600500190196E-2</v>
      </c>
      <c r="Q369" s="343">
        <f t="shared" si="147"/>
        <v>6.1002708581352696</v>
      </c>
      <c r="R369" s="344">
        <f t="shared" si="148"/>
        <v>-103.23612286512612</v>
      </c>
      <c r="S369" s="346">
        <f t="shared" si="149"/>
        <v>76.76387713487388</v>
      </c>
      <c r="U369" s="319">
        <f t="shared" si="155"/>
        <v>1000000000</v>
      </c>
      <c r="V369" s="319">
        <f t="shared" si="156"/>
        <v>912040000</v>
      </c>
      <c r="X369" s="345">
        <f t="shared" si="150"/>
        <v>37.320262068353493</v>
      </c>
      <c r="Y369" s="346">
        <f t="shared" si="151"/>
        <v>-14.679891486726598</v>
      </c>
      <c r="AA369" s="345">
        <f t="shared" si="152"/>
        <v>25.578055802698536</v>
      </c>
      <c r="AB369" s="346">
        <f t="shared" si="153"/>
        <v>-88.556231378399517</v>
      </c>
      <c r="AD369">
        <f t="shared" si="157"/>
        <v>0</v>
      </c>
      <c r="AE369">
        <f t="shared" si="160"/>
        <v>0</v>
      </c>
    </row>
    <row r="370" spans="1:31" x14ac:dyDescent="0.2">
      <c r="A370" s="347">
        <v>30375.75</v>
      </c>
      <c r="B370" s="364">
        <f t="shared" si="154"/>
        <v>30.37575</v>
      </c>
      <c r="C370" s="337">
        <f t="shared" si="135"/>
        <v>60.292661587711606</v>
      </c>
      <c r="D370" s="338">
        <f t="shared" si="136"/>
        <v>1.5542097998895832</v>
      </c>
      <c r="E370" s="338">
        <f t="shared" si="137"/>
        <v>1.0010485245864214</v>
      </c>
      <c r="F370" s="339">
        <f t="shared" si="138"/>
        <v>4.5773556461525498E-2</v>
      </c>
      <c r="G370" s="338">
        <f t="shared" si="139"/>
        <v>1</v>
      </c>
      <c r="H370" s="339">
        <f t="shared" si="140"/>
        <v>0</v>
      </c>
      <c r="I370" s="337">
        <f t="shared" si="141"/>
        <v>5746.3806139289636</v>
      </c>
      <c r="J370" s="340">
        <f t="shared" si="142"/>
        <v>1.5706223042105549</v>
      </c>
      <c r="K370" s="348">
        <f t="shared" si="158"/>
        <v>5.5095449374232466</v>
      </c>
      <c r="L370" s="349">
        <f t="shared" si="159"/>
        <v>1.3882815079665756</v>
      </c>
      <c r="M370" s="337">
        <f t="shared" si="143"/>
        <v>1.0026892693901472</v>
      </c>
      <c r="N370" s="340">
        <f t="shared" si="144"/>
        <v>7.3256486132145221E-2</v>
      </c>
      <c r="O370" s="341">
        <f t="shared" si="145"/>
        <v>0.99976933225423792</v>
      </c>
      <c r="P370" s="342">
        <f t="shared" si="146"/>
        <v>3.7209084158600317E-2</v>
      </c>
      <c r="Q370" s="343">
        <f t="shared" si="147"/>
        <v>6.048073284610167</v>
      </c>
      <c r="R370" s="344">
        <f t="shared" si="148"/>
        <v>-103.20359954792383</v>
      </c>
      <c r="S370" s="346">
        <f t="shared" si="149"/>
        <v>76.79640045207617</v>
      </c>
      <c r="U370" s="319">
        <f t="shared" si="155"/>
        <v>1000000000</v>
      </c>
      <c r="V370" s="319">
        <f t="shared" si="156"/>
        <v>922686188.0625</v>
      </c>
      <c r="X370" s="345">
        <f t="shared" si="150"/>
        <v>37.31832388340991</v>
      </c>
      <c r="Y370" s="346">
        <f t="shared" si="151"/>
        <v>-14.644645551899421</v>
      </c>
      <c r="AA370" s="345">
        <f t="shared" si="152"/>
        <v>25.52779641411702</v>
      </c>
      <c r="AB370" s="346">
        <f t="shared" si="153"/>
        <v>-88.5589539960244</v>
      </c>
      <c r="AD370">
        <f t="shared" si="157"/>
        <v>0</v>
      </c>
      <c r="AE370">
        <f t="shared" si="160"/>
        <v>0</v>
      </c>
    </row>
    <row r="371" spans="1:31" x14ac:dyDescent="0.2">
      <c r="A371" s="347">
        <v>30551.5</v>
      </c>
      <c r="B371" s="364">
        <f t="shared" si="154"/>
        <v>30.551500000000001</v>
      </c>
      <c r="C371" s="337">
        <f t="shared" si="135"/>
        <v>60.641411123362388</v>
      </c>
      <c r="D371" s="338">
        <f t="shared" si="136"/>
        <v>1.5543051978924729</v>
      </c>
      <c r="E371" s="338">
        <f t="shared" si="137"/>
        <v>1.0010606864846665</v>
      </c>
      <c r="F371" s="339">
        <f t="shared" si="138"/>
        <v>4.6038023110456933E-2</v>
      </c>
      <c r="G371" s="338">
        <f t="shared" si="139"/>
        <v>1</v>
      </c>
      <c r="H371" s="339">
        <f t="shared" si="140"/>
        <v>0</v>
      </c>
      <c r="I371" s="337">
        <f t="shared" si="141"/>
        <v>5779.628397519542</v>
      </c>
      <c r="J371" s="340">
        <f t="shared" si="142"/>
        <v>1.5706233052896701</v>
      </c>
      <c r="K371" s="348">
        <f t="shared" si="158"/>
        <v>5.5403751912294199</v>
      </c>
      <c r="L371" s="349">
        <f t="shared" si="159"/>
        <v>1.3893084718462734</v>
      </c>
      <c r="M371" s="337">
        <f t="shared" si="143"/>
        <v>1.0027204365807829</v>
      </c>
      <c r="N371" s="340">
        <f t="shared" si="144"/>
        <v>7.3678810404908521E-2</v>
      </c>
      <c r="O371" s="341">
        <f t="shared" si="145"/>
        <v>0.9997666599934486</v>
      </c>
      <c r="P371" s="342">
        <f t="shared" si="146"/>
        <v>3.7424571264275522E-2</v>
      </c>
      <c r="Q371" s="343">
        <f t="shared" si="147"/>
        <v>5.9961935525853116</v>
      </c>
      <c r="R371" s="344">
        <f t="shared" si="148"/>
        <v>-103.17167318972031</v>
      </c>
      <c r="S371" s="346">
        <f t="shared" si="149"/>
        <v>76.828326810279691</v>
      </c>
      <c r="U371" s="319">
        <f t="shared" si="155"/>
        <v>1000000000</v>
      </c>
      <c r="V371" s="319">
        <f t="shared" si="156"/>
        <v>933394152.25</v>
      </c>
      <c r="X371" s="345">
        <f t="shared" si="150"/>
        <v>37.316412264793648</v>
      </c>
      <c r="Y371" s="346">
        <f t="shared" si="151"/>
        <v>-14.610059611864358</v>
      </c>
      <c r="AA371" s="345">
        <f t="shared" si="152"/>
        <v>25.477828300708424</v>
      </c>
      <c r="AB371" s="346">
        <f t="shared" si="153"/>
        <v>-88.561613577855951</v>
      </c>
      <c r="AD371">
        <f t="shared" si="157"/>
        <v>0</v>
      </c>
      <c r="AE371">
        <f t="shared" si="160"/>
        <v>0</v>
      </c>
    </row>
    <row r="372" spans="1:31" x14ac:dyDescent="0.2">
      <c r="A372" s="347">
        <v>30727.25</v>
      </c>
      <c r="B372" s="364">
        <f t="shared" si="154"/>
        <v>30.727250000000002</v>
      </c>
      <c r="C372" s="337">
        <f t="shared" si="135"/>
        <v>60.990161204585739</v>
      </c>
      <c r="D372" s="338">
        <f t="shared" si="136"/>
        <v>1.554399504898563</v>
      </c>
      <c r="E372" s="338">
        <f t="shared" si="137"/>
        <v>1.0010729183980034</v>
      </c>
      <c r="F372" s="339">
        <f t="shared" si="138"/>
        <v>4.6302483314952958E-2</v>
      </c>
      <c r="G372" s="338">
        <f t="shared" si="139"/>
        <v>1</v>
      </c>
      <c r="H372" s="339">
        <f t="shared" si="140"/>
        <v>0</v>
      </c>
      <c r="I372" s="337">
        <f t="shared" si="141"/>
        <v>5812.8761811158456</v>
      </c>
      <c r="J372" s="340">
        <f t="shared" si="142"/>
        <v>1.5706242949170834</v>
      </c>
      <c r="K372" s="348">
        <f t="shared" si="158"/>
        <v>5.5712112235447515</v>
      </c>
      <c r="L372" s="349">
        <f t="shared" si="159"/>
        <v>1.3903240685263092</v>
      </c>
      <c r="M372" s="337">
        <f t="shared" si="143"/>
        <v>1.0027517826032848</v>
      </c>
      <c r="N372" s="340">
        <f t="shared" si="144"/>
        <v>7.4101108349272984E-2</v>
      </c>
      <c r="O372" s="341">
        <f t="shared" si="145"/>
        <v>0.9997639724243953</v>
      </c>
      <c r="P372" s="342">
        <f t="shared" si="146"/>
        <v>3.7640061837148721E-2</v>
      </c>
      <c r="Q372" s="343">
        <f t="shared" si="147"/>
        <v>5.944627707924556</v>
      </c>
      <c r="R372" s="344">
        <f t="shared" si="148"/>
        <v>-103.14033401782532</v>
      </c>
      <c r="S372" s="346">
        <f t="shared" si="149"/>
        <v>76.859665982174675</v>
      </c>
      <c r="U372" s="319">
        <f t="shared" si="155"/>
        <v>1000000000</v>
      </c>
      <c r="V372" s="319">
        <f t="shared" si="156"/>
        <v>944163892.5625</v>
      </c>
      <c r="X372" s="345">
        <f t="shared" si="150"/>
        <v>37.314526588811169</v>
      </c>
      <c r="Y372" s="346">
        <f t="shared" si="151"/>
        <v>-14.57612279975525</v>
      </c>
      <c r="AA372" s="345">
        <f t="shared" si="152"/>
        <v>25.428148132030145</v>
      </c>
      <c r="AB372" s="346">
        <f t="shared" si="153"/>
        <v>-88.564211218070085</v>
      </c>
      <c r="AD372">
        <f t="shared" si="157"/>
        <v>0</v>
      </c>
      <c r="AE372">
        <f t="shared" si="160"/>
        <v>0</v>
      </c>
    </row>
    <row r="373" spans="1:31" x14ac:dyDescent="0.2">
      <c r="A373" s="347">
        <v>30903</v>
      </c>
      <c r="B373" s="364">
        <f t="shared" si="154"/>
        <v>30.902999999999999</v>
      </c>
      <c r="C373" s="337">
        <f t="shared" si="135"/>
        <v>61.338911822075929</v>
      </c>
      <c r="D373" s="338">
        <f t="shared" si="136"/>
        <v>1.5544927395151882</v>
      </c>
      <c r="E373" s="338">
        <f t="shared" si="137"/>
        <v>1.0010852203238652</v>
      </c>
      <c r="F373" s="339">
        <f t="shared" si="138"/>
        <v>4.6566937038258226E-2</v>
      </c>
      <c r="G373" s="338">
        <f t="shared" si="139"/>
        <v>1</v>
      </c>
      <c r="H373" s="339">
        <f t="shared" si="140"/>
        <v>0</v>
      </c>
      <c r="I373" s="337">
        <f t="shared" si="141"/>
        <v>5846.123964717779</v>
      </c>
      <c r="J373" s="340">
        <f t="shared" si="142"/>
        <v>1.570625273288178</v>
      </c>
      <c r="K373" s="348">
        <f t="shared" si="158"/>
        <v>5.6020529389472831</v>
      </c>
      <c r="L373" s="349">
        <f t="shared" si="159"/>
        <v>1.391328483638145</v>
      </c>
      <c r="M373" s="337">
        <f t="shared" si="143"/>
        <v>1.0027833074408827</v>
      </c>
      <c r="N373" s="340">
        <f t="shared" si="144"/>
        <v>7.4523379817093269E-2</v>
      </c>
      <c r="O373" s="341">
        <f t="shared" si="145"/>
        <v>0.99976126954895062</v>
      </c>
      <c r="P373" s="342">
        <f t="shared" si="146"/>
        <v>3.7855555897152587E-2</v>
      </c>
      <c r="Q373" s="343">
        <f t="shared" si="147"/>
        <v>5.893371870544085</v>
      </c>
      <c r="R373" s="344">
        <f t="shared" si="148"/>
        <v>-103.10957246841585</v>
      </c>
      <c r="S373" s="346">
        <f t="shared" si="149"/>
        <v>76.890427531584152</v>
      </c>
      <c r="U373" s="319">
        <f t="shared" si="155"/>
        <v>1000000000</v>
      </c>
      <c r="V373" s="319">
        <f t="shared" si="156"/>
        <v>954995409</v>
      </c>
      <c r="X373" s="345">
        <f t="shared" si="150"/>
        <v>37.312666248899269</v>
      </c>
      <c r="Y373" s="346">
        <f t="shared" si="151"/>
        <v>-14.542824482379254</v>
      </c>
      <c r="AA373" s="345">
        <f t="shared" si="152"/>
        <v>25.378752634561575</v>
      </c>
      <c r="AB373" s="346">
        <f t="shared" si="153"/>
        <v>-88.566747986036575</v>
      </c>
      <c r="AD373">
        <f t="shared" si="157"/>
        <v>0</v>
      </c>
      <c r="AE373">
        <f t="shared" si="160"/>
        <v>0</v>
      </c>
    </row>
    <row r="374" spans="1:31" x14ac:dyDescent="0.2">
      <c r="A374" s="347">
        <v>31083</v>
      </c>
      <c r="B374" s="364">
        <f t="shared" si="154"/>
        <v>31.082999999999998</v>
      </c>
      <c r="C374" s="337">
        <f t="shared" si="135"/>
        <v>61.696096500160152</v>
      </c>
      <c r="D374" s="338">
        <f t="shared" si="136"/>
        <v>1.5545871361375372</v>
      </c>
      <c r="E374" s="338">
        <f t="shared" si="137"/>
        <v>1.0010978923057141</v>
      </c>
      <c r="F374" s="339">
        <f t="shared" si="138"/>
        <v>4.6837779045234618E-2</v>
      </c>
      <c r="G374" s="338">
        <f t="shared" si="139"/>
        <v>1</v>
      </c>
      <c r="H374" s="339">
        <f t="shared" si="140"/>
        <v>0</v>
      </c>
      <c r="I374" s="337">
        <f t="shared" si="141"/>
        <v>5880.1757487823916</v>
      </c>
      <c r="J374" s="340">
        <f t="shared" si="142"/>
        <v>1.5706262638499195</v>
      </c>
      <c r="K374" s="348">
        <f t="shared" si="158"/>
        <v>5.6336462644428273</v>
      </c>
      <c r="L374" s="349">
        <f t="shared" si="159"/>
        <v>1.3923457869576852</v>
      </c>
      <c r="M374" s="337">
        <f t="shared" si="143"/>
        <v>1.0028157799504627</v>
      </c>
      <c r="N374" s="340">
        <f t="shared" si="144"/>
        <v>7.495583508657129E-2</v>
      </c>
      <c r="O374" s="341">
        <f t="shared" si="145"/>
        <v>0.99975848544825574</v>
      </c>
      <c r="P374" s="342">
        <f t="shared" si="146"/>
        <v>3.8076264686535556E-2</v>
      </c>
      <c r="Q374" s="343">
        <f t="shared" si="147"/>
        <v>5.8411939249332203</v>
      </c>
      <c r="R374" s="344">
        <f t="shared" si="148"/>
        <v>-103.07865600474202</v>
      </c>
      <c r="S374" s="346">
        <f t="shared" si="149"/>
        <v>76.921343995257985</v>
      </c>
      <c r="U374" s="319">
        <f t="shared" si="155"/>
        <v>1000000000</v>
      </c>
      <c r="V374" s="319">
        <f t="shared" si="156"/>
        <v>966152889</v>
      </c>
      <c r="X374" s="345">
        <f t="shared" si="150"/>
        <v>37.310786568209373</v>
      </c>
      <c r="Y374" s="346">
        <f t="shared" si="151"/>
        <v>-14.509371912423152</v>
      </c>
      <c r="AA374" s="345">
        <f t="shared" si="152"/>
        <v>25.328454369640603</v>
      </c>
      <c r="AB374" s="346">
        <f t="shared" si="153"/>
        <v>-88.569284092318853</v>
      </c>
      <c r="AD374">
        <f t="shared" si="157"/>
        <v>0</v>
      </c>
      <c r="AE374">
        <f t="shared" si="160"/>
        <v>0</v>
      </c>
    </row>
    <row r="375" spans="1:31" x14ac:dyDescent="0.2">
      <c r="A375" s="347">
        <v>31263</v>
      </c>
      <c r="B375" s="364">
        <f t="shared" si="154"/>
        <v>31.263000000000002</v>
      </c>
      <c r="C375" s="337">
        <f t="shared" si="135"/>
        <v>62.053281721672249</v>
      </c>
      <c r="D375" s="338">
        <f t="shared" si="136"/>
        <v>1.5546804460469204</v>
      </c>
      <c r="E375" s="338">
        <f t="shared" si="137"/>
        <v>1.0011106377216299</v>
      </c>
      <c r="F375" s="339">
        <f t="shared" si="138"/>
        <v>4.7108614175749082E-2</v>
      </c>
      <c r="G375" s="338">
        <f t="shared" si="139"/>
        <v>1</v>
      </c>
      <c r="H375" s="339">
        <f t="shared" si="140"/>
        <v>0</v>
      </c>
      <c r="I375" s="337">
        <f t="shared" si="141"/>
        <v>5914.2275328527066</v>
      </c>
      <c r="J375" s="340">
        <f t="shared" si="142"/>
        <v>1.5706272430051353</v>
      </c>
      <c r="K375" s="348">
        <f t="shared" si="158"/>
        <v>5.6652453552019351</v>
      </c>
      <c r="L375" s="349">
        <f t="shared" si="159"/>
        <v>1.3933517428646065</v>
      </c>
      <c r="M375" s="337">
        <f t="shared" si="143"/>
        <v>1.002848439992037</v>
      </c>
      <c r="N375" s="340">
        <f t="shared" si="144"/>
        <v>7.5388262269136488E-2</v>
      </c>
      <c r="O375" s="341">
        <f t="shared" si="145"/>
        <v>0.9997556852959496</v>
      </c>
      <c r="P375" s="342">
        <f t="shared" si="146"/>
        <v>3.8296977176062119E-2</v>
      </c>
      <c r="Q375" s="343">
        <f t="shared" si="147"/>
        <v>5.7893331528348924</v>
      </c>
      <c r="R375" s="344">
        <f t="shared" si="148"/>
        <v>-103.04832577904132</v>
      </c>
      <c r="S375" s="346">
        <f t="shared" si="149"/>
        <v>76.951674220958679</v>
      </c>
      <c r="U375" s="319">
        <f t="shared" si="155"/>
        <v>1000000000</v>
      </c>
      <c r="V375" s="319">
        <f t="shared" si="156"/>
        <v>977375169</v>
      </c>
      <c r="X375" s="345">
        <f t="shared" si="150"/>
        <v>37.308932228553623</v>
      </c>
      <c r="Y375" s="346">
        <f t="shared" si="151"/>
        <v>-14.476567238511887</v>
      </c>
      <c r="AA375" s="345">
        <f t="shared" si="152"/>
        <v>25.278447937198031</v>
      </c>
      <c r="AB375" s="346">
        <f t="shared" si="153"/>
        <v>-88.57175854052943</v>
      </c>
      <c r="AD375">
        <f t="shared" si="157"/>
        <v>0</v>
      </c>
      <c r="AE375">
        <f t="shared" si="160"/>
        <v>0</v>
      </c>
    </row>
    <row r="376" spans="1:31" x14ac:dyDescent="0.2">
      <c r="A376" s="347">
        <v>31443</v>
      </c>
      <c r="B376" s="364">
        <f t="shared" si="154"/>
        <v>31.443000000000001</v>
      </c>
      <c r="C376" s="337">
        <f t="shared" si="135"/>
        <v>62.410467477281841</v>
      </c>
      <c r="D376" s="338">
        <f t="shared" si="136"/>
        <v>1.5547726879000296</v>
      </c>
      <c r="E376" s="338">
        <f t="shared" si="137"/>
        <v>1.0011234565688079</v>
      </c>
      <c r="F376" s="339">
        <f t="shared" si="138"/>
        <v>4.737944239033258E-2</v>
      </c>
      <c r="G376" s="338">
        <f t="shared" si="139"/>
        <v>1</v>
      </c>
      <c r="H376" s="339">
        <f t="shared" si="140"/>
        <v>0</v>
      </c>
      <c r="I376" s="337">
        <f t="shared" si="141"/>
        <v>5948.2793169286278</v>
      </c>
      <c r="J376" s="340">
        <f t="shared" si="142"/>
        <v>1.5706282109497203</v>
      </c>
      <c r="K376" s="348">
        <f t="shared" si="158"/>
        <v>5.6968501152889157</v>
      </c>
      <c r="L376" s="349">
        <f t="shared" si="159"/>
        <v>1.3943465381640159</v>
      </c>
      <c r="M376" s="337">
        <f t="shared" si="143"/>
        <v>1.0028812875472843</v>
      </c>
      <c r="N376" s="340">
        <f t="shared" si="144"/>
        <v>7.5820661205818915E-2</v>
      </c>
      <c r="O376" s="341">
        <f t="shared" si="145"/>
        <v>0.99975286909407945</v>
      </c>
      <c r="P376" s="342">
        <f t="shared" si="146"/>
        <v>3.8517693387145537E-2</v>
      </c>
      <c r="Q376" s="343">
        <f t="shared" si="147"/>
        <v>5.7377856154493854</v>
      </c>
      <c r="R376" s="344">
        <f t="shared" si="148"/>
        <v>-103.0185721627232</v>
      </c>
      <c r="S376" s="346">
        <f t="shared" si="149"/>
        <v>76.981427837276797</v>
      </c>
      <c r="U376" s="319">
        <f t="shared" si="155"/>
        <v>1000000000</v>
      </c>
      <c r="V376" s="319">
        <f t="shared" si="156"/>
        <v>988662249</v>
      </c>
      <c r="X376" s="345">
        <f t="shared" si="150"/>
        <v>37.307102630584879</v>
      </c>
      <c r="Y376" s="346">
        <f t="shared" si="151"/>
        <v>-14.444399759616894</v>
      </c>
      <c r="AA376" s="345">
        <f t="shared" si="152"/>
        <v>25.228729997781265</v>
      </c>
      <c r="AB376" s="346">
        <f t="shared" si="153"/>
        <v>-88.574172403106317</v>
      </c>
      <c r="AD376">
        <f t="shared" si="157"/>
        <v>0</v>
      </c>
      <c r="AE376">
        <f t="shared" si="160"/>
        <v>0</v>
      </c>
    </row>
    <row r="377" spans="1:31" x14ac:dyDescent="0.2">
      <c r="A377" s="347">
        <v>31623</v>
      </c>
      <c r="B377" s="364">
        <f t="shared" si="154"/>
        <v>31.623000000000001</v>
      </c>
      <c r="C377" s="337">
        <f t="shared" si="135"/>
        <v>62.767653757870931</v>
      </c>
      <c r="D377" s="338">
        <f t="shared" si="136"/>
        <v>1.5548638799289596</v>
      </c>
      <c r="E377" s="338">
        <f t="shared" si="137"/>
        <v>1.0011363488444271</v>
      </c>
      <c r="F377" s="339">
        <f t="shared" si="138"/>
        <v>4.7650263649522191E-2</v>
      </c>
      <c r="G377" s="338">
        <f t="shared" si="139"/>
        <v>1</v>
      </c>
      <c r="H377" s="339">
        <f t="shared" si="140"/>
        <v>0</v>
      </c>
      <c r="I377" s="337">
        <f t="shared" si="141"/>
        <v>5982.3311010100588</v>
      </c>
      <c r="J377" s="340">
        <f t="shared" si="142"/>
        <v>1.570629167875109</v>
      </c>
      <c r="K377" s="348">
        <f t="shared" si="158"/>
        <v>5.7284604508682175</v>
      </c>
      <c r="L377" s="349">
        <f t="shared" si="159"/>
        <v>1.3953303556272405</v>
      </c>
      <c r="M377" s="337">
        <f t="shared" si="143"/>
        <v>1.0029143225977801</v>
      </c>
      <c r="N377" s="340">
        <f t="shared" si="144"/>
        <v>7.6253031737711599E-2</v>
      </c>
      <c r="O377" s="341">
        <f t="shared" si="145"/>
        <v>0.99975003684470443</v>
      </c>
      <c r="P377" s="342">
        <f t="shared" si="146"/>
        <v>3.8738413341198805E-2</v>
      </c>
      <c r="Q377" s="343">
        <f t="shared" si="147"/>
        <v>5.6865474476056477</v>
      </c>
      <c r="R377" s="344">
        <f t="shared" si="148"/>
        <v>-102.9893857337357</v>
      </c>
      <c r="S377" s="346">
        <f t="shared" si="149"/>
        <v>77.010614266264298</v>
      </c>
      <c r="U377" s="319">
        <f t="shared" si="155"/>
        <v>1000000000</v>
      </c>
      <c r="V377" s="319">
        <f t="shared" si="156"/>
        <v>1000014129</v>
      </c>
      <c r="X377" s="345">
        <f t="shared" si="150"/>
        <v>37.305297191456617</v>
      </c>
      <c r="Y377" s="346">
        <f t="shared" si="151"/>
        <v>-14.412859005576177</v>
      </c>
      <c r="AA377" s="345">
        <f t="shared" si="152"/>
        <v>25.179297269065792</v>
      </c>
      <c r="AB377" s="346">
        <f t="shared" si="153"/>
        <v>-88.576526728159507</v>
      </c>
      <c r="AD377">
        <f t="shared" si="157"/>
        <v>0</v>
      </c>
      <c r="AE377">
        <f t="shared" si="160"/>
        <v>0</v>
      </c>
    </row>
    <row r="378" spans="1:31" x14ac:dyDescent="0.2">
      <c r="A378" s="347">
        <v>31807</v>
      </c>
      <c r="B378" s="364">
        <f t="shared" si="154"/>
        <v>31.806999999999999</v>
      </c>
      <c r="C378" s="337">
        <f t="shared" si="135"/>
        <v>63.132778044692451</v>
      </c>
      <c r="D378" s="338">
        <f t="shared" si="136"/>
        <v>1.5549560319218716</v>
      </c>
      <c r="E378" s="338">
        <f t="shared" si="137"/>
        <v>1.0011496035062932</v>
      </c>
      <c r="F378" s="339">
        <f t="shared" si="138"/>
        <v>4.7927095928874411E-2</v>
      </c>
      <c r="G378" s="338">
        <f t="shared" si="139"/>
        <v>1</v>
      </c>
      <c r="H378" s="339">
        <f t="shared" si="140"/>
        <v>0</v>
      </c>
      <c r="I378" s="337">
        <f t="shared" si="141"/>
        <v>6017.1395914100076</v>
      </c>
      <c r="J378" s="340">
        <f t="shared" si="142"/>
        <v>1.5706301348710745</v>
      </c>
      <c r="K378" s="348">
        <f t="shared" si="158"/>
        <v>5.7607789055022929</v>
      </c>
      <c r="L378" s="349">
        <f t="shared" si="159"/>
        <v>1.3963248754234283</v>
      </c>
      <c r="M378" s="337">
        <f t="shared" si="143"/>
        <v>1.0029482855326026</v>
      </c>
      <c r="N378" s="340">
        <f t="shared" si="144"/>
        <v>7.6694980979623434E-2</v>
      </c>
      <c r="O378" s="341">
        <f t="shared" si="145"/>
        <v>0.99974712507222674</v>
      </c>
      <c r="P378" s="342">
        <f t="shared" si="146"/>
        <v>3.8964042074075361E-2</v>
      </c>
      <c r="Q378" s="343">
        <f t="shared" si="147"/>
        <v>5.6344864626622204</v>
      </c>
      <c r="R378" s="344">
        <f t="shared" si="148"/>
        <v>-102.96012735100508</v>
      </c>
      <c r="S378" s="346">
        <f t="shared" si="149"/>
        <v>77.039872648994915</v>
      </c>
      <c r="U378" s="319">
        <f t="shared" si="155"/>
        <v>1000000000</v>
      </c>
      <c r="V378" s="319">
        <f t="shared" si="156"/>
        <v>1011685249</v>
      </c>
      <c r="X378" s="345">
        <f t="shared" si="150"/>
        <v>37.303476011387836</v>
      </c>
      <c r="Y378" s="346">
        <f t="shared" si="151"/>
        <v>-14.381254449684466</v>
      </c>
      <c r="AA378" s="345">
        <f t="shared" si="152"/>
        <v>25.129057464191145</v>
      </c>
      <c r="AB378" s="346">
        <f t="shared" si="153"/>
        <v>-88.578872901320608</v>
      </c>
      <c r="AD378">
        <f t="shared" si="157"/>
        <v>0</v>
      </c>
      <c r="AE378">
        <f t="shared" si="160"/>
        <v>0</v>
      </c>
    </row>
    <row r="379" spans="1:31" x14ac:dyDescent="0.2">
      <c r="A379" s="347">
        <v>31991</v>
      </c>
      <c r="B379" s="364">
        <f t="shared" si="154"/>
        <v>31.991</v>
      </c>
      <c r="C379" s="337">
        <f t="shared" si="135"/>
        <v>63.497902861471275</v>
      </c>
      <c r="D379" s="338">
        <f t="shared" si="136"/>
        <v>1.5550471241331632</v>
      </c>
      <c r="E379" s="338">
        <f t="shared" si="137"/>
        <v>1.0011629348903361</v>
      </c>
      <c r="F379" s="339">
        <f t="shared" si="138"/>
        <v>4.8203920856899868E-2</v>
      </c>
      <c r="G379" s="338">
        <f t="shared" si="139"/>
        <v>1</v>
      </c>
      <c r="H379" s="339">
        <f t="shared" si="140"/>
        <v>0</v>
      </c>
      <c r="I379" s="337">
        <f t="shared" si="141"/>
        <v>6051.9480818155171</v>
      </c>
      <c r="J379" s="340">
        <f t="shared" si="142"/>
        <v>1.570631090743458</v>
      </c>
      <c r="K379" s="348">
        <f t="shared" si="158"/>
        <v>5.7931029943708454</v>
      </c>
      <c r="L379" s="349">
        <f t="shared" si="159"/>
        <v>1.397308297831896</v>
      </c>
      <c r="M379" s="337">
        <f t="shared" si="143"/>
        <v>1.0029824443491249</v>
      </c>
      <c r="N379" s="340">
        <f t="shared" si="144"/>
        <v>7.7136900204700473E-2</v>
      </c>
      <c r="O379" s="341">
        <f t="shared" si="145"/>
        <v>0.99974419653548618</v>
      </c>
      <c r="P379" s="342">
        <f t="shared" si="146"/>
        <v>3.9189674763371325E-2</v>
      </c>
      <c r="Q379" s="343">
        <f t="shared" si="147"/>
        <v>5.5827408098916012</v>
      </c>
      <c r="R379" s="344">
        <f t="shared" si="148"/>
        <v>-102.93144237145495</v>
      </c>
      <c r="S379" s="346">
        <f t="shared" si="149"/>
        <v>77.068557628545051</v>
      </c>
      <c r="U379" s="319">
        <f t="shared" si="155"/>
        <v>1000000000</v>
      </c>
      <c r="V379" s="319">
        <f t="shared" si="156"/>
        <v>1023424081</v>
      </c>
      <c r="X379" s="345">
        <f t="shared" si="150"/>
        <v>37.301678894666168</v>
      </c>
      <c r="Y379" s="346">
        <f t="shared" si="151"/>
        <v>-14.35028337010122</v>
      </c>
      <c r="AA379" s="345">
        <f t="shared" si="152"/>
        <v>25.079108928142194</v>
      </c>
      <c r="AB379" s="346">
        <f t="shared" si="153"/>
        <v>-88.581159001353726</v>
      </c>
      <c r="AD379">
        <f t="shared" si="157"/>
        <v>0</v>
      </c>
      <c r="AE379">
        <f t="shared" si="160"/>
        <v>0</v>
      </c>
    </row>
    <row r="380" spans="1:31" x14ac:dyDescent="0.2">
      <c r="A380" s="347">
        <v>32175</v>
      </c>
      <c r="B380" s="364">
        <f t="shared" si="154"/>
        <v>32.174999999999997</v>
      </c>
      <c r="C380" s="337">
        <f t="shared" si="135"/>
        <v>63.863028199117601</v>
      </c>
      <c r="D380" s="338">
        <f t="shared" si="136"/>
        <v>1.5551371747386393</v>
      </c>
      <c r="E380" s="338">
        <f t="shared" si="137"/>
        <v>1.0011763429934912</v>
      </c>
      <c r="F380" s="339">
        <f t="shared" si="138"/>
        <v>4.8480738391465765E-2</v>
      </c>
      <c r="G380" s="338">
        <f t="shared" si="139"/>
        <v>1</v>
      </c>
      <c r="H380" s="339">
        <f t="shared" si="140"/>
        <v>0</v>
      </c>
      <c r="I380" s="337">
        <f t="shared" si="141"/>
        <v>6086.7565722264944</v>
      </c>
      <c r="J380" s="340">
        <f t="shared" si="142"/>
        <v>1.5706320356830981</v>
      </c>
      <c r="K380" s="348">
        <f t="shared" si="158"/>
        <v>5.8254326236843648</v>
      </c>
      <c r="L380" s="349">
        <f t="shared" si="159"/>
        <v>1.3982808056972706</v>
      </c>
      <c r="M380" s="337">
        <f t="shared" si="143"/>
        <v>1.0030167990273344</v>
      </c>
      <c r="N380" s="340">
        <f t="shared" si="144"/>
        <v>7.7578789243411231E-2</v>
      </c>
      <c r="O380" s="341">
        <f t="shared" si="145"/>
        <v>0.99974125123672053</v>
      </c>
      <c r="P380" s="342">
        <f t="shared" si="146"/>
        <v>3.9415311431958373E-2</v>
      </c>
      <c r="Q380" s="343">
        <f t="shared" si="147"/>
        <v>5.53130658749203</v>
      </c>
      <c r="R380" s="344">
        <f t="shared" si="148"/>
        <v>-102.90332136520205</v>
      </c>
      <c r="S380" s="346">
        <f t="shared" si="149"/>
        <v>77.096678634797954</v>
      </c>
      <c r="U380" s="319">
        <f t="shared" si="155"/>
        <v>1000000000</v>
      </c>
      <c r="V380" s="319">
        <f t="shared" si="156"/>
        <v>1035230625</v>
      </c>
      <c r="X380" s="345">
        <f t="shared" si="150"/>
        <v>37.299905268746251</v>
      </c>
      <c r="Y380" s="346">
        <f t="shared" si="151"/>
        <v>-14.319935291821793</v>
      </c>
      <c r="AA380" s="345">
        <f t="shared" si="152"/>
        <v>25.029448331662536</v>
      </c>
      <c r="AB380" s="346">
        <f t="shared" si="153"/>
        <v>-88.58338607338024</v>
      </c>
      <c r="AD380">
        <f t="shared" si="157"/>
        <v>0</v>
      </c>
      <c r="AE380">
        <f t="shared" si="160"/>
        <v>0</v>
      </c>
    </row>
    <row r="381" spans="1:31" x14ac:dyDescent="0.2">
      <c r="A381" s="347">
        <v>32359</v>
      </c>
      <c r="B381" s="364">
        <f t="shared" si="154"/>
        <v>32.359000000000002</v>
      </c>
      <c r="C381" s="337">
        <f t="shared" si="135"/>
        <v>64.228154048748337</v>
      </c>
      <c r="D381" s="338">
        <f t="shared" si="136"/>
        <v>1.5552262015008693</v>
      </c>
      <c r="E381" s="338">
        <f t="shared" si="137"/>
        <v>1.0011898278126765</v>
      </c>
      <c r="F381" s="339">
        <f t="shared" si="138"/>
        <v>4.8757548490446077E-2</v>
      </c>
      <c r="G381" s="338">
        <f t="shared" si="139"/>
        <v>1</v>
      </c>
      <c r="H381" s="339">
        <f t="shared" si="140"/>
        <v>0</v>
      </c>
      <c r="I381" s="337">
        <f t="shared" si="141"/>
        <v>6121.5650626428442</v>
      </c>
      <c r="J381" s="340">
        <f t="shared" si="142"/>
        <v>1.5706329698764918</v>
      </c>
      <c r="K381" s="348">
        <f t="shared" si="158"/>
        <v>5.8577677017079735</v>
      </c>
      <c r="L381" s="349">
        <f t="shared" si="159"/>
        <v>1.3992425779105677</v>
      </c>
      <c r="M381" s="337">
        <f t="shared" si="143"/>
        <v>1.0030513495471058</v>
      </c>
      <c r="N381" s="340">
        <f t="shared" si="144"/>
        <v>7.8020647926294567E-2</v>
      </c>
      <c r="O381" s="341">
        <f t="shared" si="145"/>
        <v>0.99973828917818064</v>
      </c>
      <c r="P381" s="342">
        <f t="shared" si="146"/>
        <v>3.9640952102707919E-2</v>
      </c>
      <c r="Q381" s="343">
        <f t="shared" si="147"/>
        <v>5.4801799663286213</v>
      </c>
      <c r="R381" s="344">
        <f t="shared" si="148"/>
        <v>-102.87575510496657</v>
      </c>
      <c r="S381" s="346">
        <f t="shared" si="149"/>
        <v>77.124244895033428</v>
      </c>
      <c r="U381" s="319">
        <f t="shared" si="155"/>
        <v>1000000000</v>
      </c>
      <c r="V381" s="319">
        <f t="shared" si="156"/>
        <v>1047104881</v>
      </c>
      <c r="X381" s="345">
        <f t="shared" si="150"/>
        <v>37.298154576852212</v>
      </c>
      <c r="Y381" s="346">
        <f t="shared" si="151"/>
        <v>-14.290199966122074</v>
      </c>
      <c r="AA381" s="345">
        <f t="shared" si="152"/>
        <v>24.980072402393173</v>
      </c>
      <c r="AB381" s="346">
        <f t="shared" si="153"/>
        <v>-88.585555138844484</v>
      </c>
      <c r="AD381">
        <f t="shared" si="157"/>
        <v>0</v>
      </c>
      <c r="AE381">
        <f t="shared" si="160"/>
        <v>0</v>
      </c>
    </row>
    <row r="382" spans="1:31" x14ac:dyDescent="0.2">
      <c r="A382" s="347">
        <v>32547.5</v>
      </c>
      <c r="B382" s="364">
        <f t="shared" si="154"/>
        <v>32.547499999999999</v>
      </c>
      <c r="C382" s="337">
        <f t="shared" si="135"/>
        <v>64.602210128502108</v>
      </c>
      <c r="D382" s="338">
        <f t="shared" si="136"/>
        <v>1.5553163619864825</v>
      </c>
      <c r="E382" s="338">
        <f t="shared" si="137"/>
        <v>1.001203721973678</v>
      </c>
      <c r="F382" s="339">
        <f t="shared" si="138"/>
        <v>4.9041120647014651E-2</v>
      </c>
      <c r="G382" s="338">
        <f t="shared" si="139"/>
        <v>1</v>
      </c>
      <c r="H382" s="339">
        <f t="shared" si="140"/>
        <v>0</v>
      </c>
      <c r="I382" s="337">
        <f t="shared" si="141"/>
        <v>6157.2248476672448</v>
      </c>
      <c r="J382" s="340">
        <f t="shared" si="142"/>
        <v>1.5706339159638589</v>
      </c>
      <c r="K382" s="348">
        <f t="shared" si="158"/>
        <v>5.890899139693893</v>
      </c>
      <c r="L382" s="349">
        <f t="shared" si="159"/>
        <v>1.4002169220011376</v>
      </c>
      <c r="M382" s="337">
        <f t="shared" si="143"/>
        <v>1.003086948115794</v>
      </c>
      <c r="N382" s="340">
        <f t="shared" si="144"/>
        <v>7.8473281280072152E-2</v>
      </c>
      <c r="O382" s="341">
        <f t="shared" si="145"/>
        <v>0.9997352373007431</v>
      </c>
      <c r="P382" s="342">
        <f t="shared" si="146"/>
        <v>3.9872115333515062E-2</v>
      </c>
      <c r="Q382" s="343">
        <f t="shared" si="147"/>
        <v>5.4281180147603871</v>
      </c>
      <c r="R382" s="344">
        <f t="shared" si="148"/>
        <v>-102.84808049345281</v>
      </c>
      <c r="S382" s="346">
        <f t="shared" si="149"/>
        <v>77.151919506547188</v>
      </c>
      <c r="U382" s="319">
        <f t="shared" si="155"/>
        <v>1000000000</v>
      </c>
      <c r="V382" s="319">
        <f t="shared" si="156"/>
        <v>1059339756.25</v>
      </c>
      <c r="X382" s="345">
        <f t="shared" si="150"/>
        <v>37.296384285305791</v>
      </c>
      <c r="Y382" s="346">
        <f t="shared" si="151"/>
        <v>-14.260362349556306</v>
      </c>
      <c r="AA382" s="345">
        <f t="shared" si="152"/>
        <v>24.929780742371356</v>
      </c>
      <c r="AB382" s="346">
        <f t="shared" si="153"/>
        <v>-88.587718143896495</v>
      </c>
      <c r="AD382">
        <f t="shared" si="157"/>
        <v>0</v>
      </c>
      <c r="AE382">
        <f t="shared" si="160"/>
        <v>0</v>
      </c>
    </row>
    <row r="383" spans="1:31" x14ac:dyDescent="0.2">
      <c r="A383" s="347">
        <v>32736</v>
      </c>
      <c r="B383" s="364">
        <f t="shared" si="154"/>
        <v>32.735999999999997</v>
      </c>
      <c r="C383" s="337">
        <f t="shared" si="135"/>
        <v>64.976266727355295</v>
      </c>
      <c r="D383" s="338">
        <f t="shared" si="136"/>
        <v>1.5554054843976421</v>
      </c>
      <c r="E383" s="338">
        <f t="shared" si="137"/>
        <v>1.0012176966424042</v>
      </c>
      <c r="F383" s="339">
        <f t="shared" si="138"/>
        <v>4.9324684910370405E-2</v>
      </c>
      <c r="G383" s="338">
        <f t="shared" si="139"/>
        <v>1</v>
      </c>
      <c r="H383" s="339">
        <f t="shared" si="140"/>
        <v>0</v>
      </c>
      <c r="I383" s="337">
        <f t="shared" si="141"/>
        <v>6192.8846326970925</v>
      </c>
      <c r="J383" s="340">
        <f t="shared" si="142"/>
        <v>1.5706348511557306</v>
      </c>
      <c r="K383" s="348">
        <f t="shared" si="158"/>
        <v>5.9240361076261205</v>
      </c>
      <c r="L383" s="349">
        <f t="shared" si="159"/>
        <v>1.4011803667236726</v>
      </c>
      <c r="M383" s="337">
        <f t="shared" si="143"/>
        <v>1.0031227521792689</v>
      </c>
      <c r="N383" s="340">
        <f t="shared" si="144"/>
        <v>7.8925882415245383E-2</v>
      </c>
      <c r="O383" s="341">
        <f t="shared" si="145"/>
        <v>0.99973216783855945</v>
      </c>
      <c r="P383" s="342">
        <f t="shared" si="146"/>
        <v>4.0103282813230175E-2</v>
      </c>
      <c r="Q383" s="343">
        <f t="shared" si="147"/>
        <v>5.376370984456381</v>
      </c>
      <c r="R383" s="344">
        <f t="shared" si="148"/>
        <v>-102.82096911787878</v>
      </c>
      <c r="S383" s="346">
        <f t="shared" si="149"/>
        <v>77.179030882121225</v>
      </c>
      <c r="U383" s="319">
        <f t="shared" si="155"/>
        <v>1000000000</v>
      </c>
      <c r="V383" s="319">
        <f t="shared" si="156"/>
        <v>1071645696</v>
      </c>
      <c r="X383" s="345">
        <f t="shared" si="150"/>
        <v>37.294636928828851</v>
      </c>
      <c r="Y383" s="346">
        <f t="shared" si="151"/>
        <v>-14.231146750523056</v>
      </c>
      <c r="AA383" s="345">
        <f t="shared" si="152"/>
        <v>24.879781068544293</v>
      </c>
      <c r="AB383" s="346">
        <f t="shared" si="153"/>
        <v>-88.589822367355723</v>
      </c>
      <c r="AD383">
        <f t="shared" si="157"/>
        <v>0</v>
      </c>
      <c r="AE383">
        <f t="shared" si="160"/>
        <v>0</v>
      </c>
    </row>
    <row r="384" spans="1:31" x14ac:dyDescent="0.2">
      <c r="A384" s="347">
        <v>32924.5</v>
      </c>
      <c r="B384" s="364">
        <f t="shared" si="154"/>
        <v>32.924500000000002</v>
      </c>
      <c r="C384" s="337">
        <f t="shared" si="135"/>
        <v>65.350323836394153</v>
      </c>
      <c r="D384" s="338">
        <f t="shared" si="136"/>
        <v>1.5554935865583466</v>
      </c>
      <c r="E384" s="338">
        <f t="shared" si="137"/>
        <v>1.0012317518154843</v>
      </c>
      <c r="F384" s="339">
        <f t="shared" si="138"/>
        <v>4.9608241235242739E-2</v>
      </c>
      <c r="G384" s="338">
        <f t="shared" si="139"/>
        <v>1</v>
      </c>
      <c r="H384" s="339">
        <f t="shared" si="140"/>
        <v>0</v>
      </c>
      <c r="I384" s="337">
        <f t="shared" si="141"/>
        <v>6228.5444177322952</v>
      </c>
      <c r="J384" s="340">
        <f t="shared" si="142"/>
        <v>1.5706357756392446</v>
      </c>
      <c r="K384" s="348">
        <f t="shared" si="158"/>
        <v>5.9571785132232247</v>
      </c>
      <c r="L384" s="349">
        <f t="shared" si="159"/>
        <v>1.4021330921884372</v>
      </c>
      <c r="M384" s="337">
        <f t="shared" si="143"/>
        <v>1.0031587617155275</v>
      </c>
      <c r="N384" s="340">
        <f t="shared" si="144"/>
        <v>7.9378451149845319E-2</v>
      </c>
      <c r="O384" s="341">
        <f t="shared" si="145"/>
        <v>0.99972908079409173</v>
      </c>
      <c r="P384" s="342">
        <f t="shared" si="146"/>
        <v>4.0334454566443169E-2</v>
      </c>
      <c r="Q384" s="343">
        <f t="shared" si="147"/>
        <v>5.3249349840145239</v>
      </c>
      <c r="R384" s="344">
        <f t="shared" si="148"/>
        <v>-102.79441168422517</v>
      </c>
      <c r="S384" s="346">
        <f t="shared" si="149"/>
        <v>77.205588315774833</v>
      </c>
      <c r="U384" s="319">
        <f t="shared" si="155"/>
        <v>1000000000</v>
      </c>
      <c r="V384" s="319">
        <f t="shared" si="156"/>
        <v>1084022700.25</v>
      </c>
      <c r="X384" s="345">
        <f t="shared" si="150"/>
        <v>37.292911956961376</v>
      </c>
      <c r="Y384" s="346">
        <f t="shared" si="151"/>
        <v>-14.202542849760446</v>
      </c>
      <c r="AA384" s="345">
        <f t="shared" si="152"/>
        <v>24.830070039969911</v>
      </c>
      <c r="AB384" s="346">
        <f t="shared" si="153"/>
        <v>-88.591868834464719</v>
      </c>
      <c r="AD384">
        <f t="shared" si="157"/>
        <v>0</v>
      </c>
      <c r="AE384">
        <f t="shared" si="160"/>
        <v>0</v>
      </c>
    </row>
    <row r="385" spans="1:31" x14ac:dyDescent="0.2">
      <c r="A385" s="347">
        <v>33113</v>
      </c>
      <c r="B385" s="364">
        <f t="shared" si="154"/>
        <v>33.113</v>
      </c>
      <c r="C385" s="337">
        <f t="shared" si="135"/>
        <v>65.724381446907799</v>
      </c>
      <c r="D385" s="338">
        <f t="shared" si="136"/>
        <v>1.5555806858868908</v>
      </c>
      <c r="E385" s="338">
        <f t="shared" si="137"/>
        <v>1.0012458874895278</v>
      </c>
      <c r="F385" s="339">
        <f t="shared" si="138"/>
        <v>4.9891789576368709E-2</v>
      </c>
      <c r="G385" s="338">
        <f t="shared" si="139"/>
        <v>1</v>
      </c>
      <c r="H385" s="339">
        <f t="shared" si="140"/>
        <v>0</v>
      </c>
      <c r="I385" s="337">
        <f t="shared" si="141"/>
        <v>6264.2042027727593</v>
      </c>
      <c r="J385" s="340">
        <f t="shared" si="142"/>
        <v>1.570636689597277</v>
      </c>
      <c r="K385" s="348">
        <f t="shared" si="158"/>
        <v>5.9903262662310421</v>
      </c>
      <c r="L385" s="349">
        <f t="shared" si="159"/>
        <v>1.4030752745979236</v>
      </c>
      <c r="M385" s="337">
        <f t="shared" si="143"/>
        <v>1.0031949767024435</v>
      </c>
      <c r="N385" s="340">
        <f t="shared" si="144"/>
        <v>7.9830987301982181E-2</v>
      </c>
      <c r="O385" s="341">
        <f t="shared" si="145"/>
        <v>0.99972597616981662</v>
      </c>
      <c r="P385" s="342">
        <f t="shared" si="146"/>
        <v>4.0565630617743688E-2</v>
      </c>
      <c r="Q385" s="343">
        <f t="shared" si="147"/>
        <v>5.2738061943965295</v>
      </c>
      <c r="R385" s="344">
        <f t="shared" si="148"/>
        <v>-102.76839909888643</v>
      </c>
      <c r="S385" s="346">
        <f t="shared" si="149"/>
        <v>77.231600901113566</v>
      </c>
      <c r="U385" s="319">
        <f t="shared" si="155"/>
        <v>1000000000</v>
      </c>
      <c r="V385" s="319">
        <f t="shared" si="156"/>
        <v>1096470769</v>
      </c>
      <c r="X385" s="345">
        <f t="shared" si="150"/>
        <v>37.291208834443033</v>
      </c>
      <c r="Y385" s="346">
        <f t="shared" si="151"/>
        <v>-14.17454055166586</v>
      </c>
      <c r="AA385" s="345">
        <f t="shared" si="152"/>
        <v>24.780644372870263</v>
      </c>
      <c r="AB385" s="346">
        <f t="shared" si="153"/>
        <v>-88.593858547220577</v>
      </c>
      <c r="AD385">
        <f t="shared" si="157"/>
        <v>0</v>
      </c>
      <c r="AE385">
        <f t="shared" si="160"/>
        <v>0</v>
      </c>
    </row>
    <row r="386" spans="1:31" x14ac:dyDescent="0.2">
      <c r="A386" s="347">
        <v>33305.75</v>
      </c>
      <c r="B386" s="364">
        <f t="shared" si="154"/>
        <v>33.305750000000003</v>
      </c>
      <c r="C386" s="337">
        <f t="shared" si="135"/>
        <v>66.106873226768073</v>
      </c>
      <c r="D386" s="338">
        <f t="shared" si="136"/>
        <v>1.5556687297251226</v>
      </c>
      <c r="E386" s="338">
        <f t="shared" si="137"/>
        <v>1.0012604251127872</v>
      </c>
      <c r="F386" s="339">
        <f t="shared" si="138"/>
        <v>5.0181722614296397E-2</v>
      </c>
      <c r="G386" s="338">
        <f t="shared" si="139"/>
        <v>1</v>
      </c>
      <c r="H386" s="339">
        <f t="shared" si="140"/>
        <v>0</v>
      </c>
      <c r="I386" s="337">
        <f t="shared" si="141"/>
        <v>6300.667988277045</v>
      </c>
      <c r="J386" s="340">
        <f t="shared" si="142"/>
        <v>1.5706376134638564</v>
      </c>
      <c r="K386" s="348">
        <f t="shared" si="158"/>
        <v>6.0242268200229345</v>
      </c>
      <c r="L386" s="349">
        <f t="shared" si="159"/>
        <v>1.4040279771409583</v>
      </c>
      <c r="M386" s="337">
        <f t="shared" si="143"/>
        <v>1.0032322206355928</v>
      </c>
      <c r="N386" s="340">
        <f t="shared" si="144"/>
        <v>8.0293692641773121E-2</v>
      </c>
      <c r="O386" s="341">
        <f t="shared" si="145"/>
        <v>0.99972278337115816</v>
      </c>
      <c r="P386" s="342">
        <f t="shared" si="146"/>
        <v>4.0802023331340219E-2</v>
      </c>
      <c r="Q386" s="343">
        <f t="shared" si="147"/>
        <v>5.2218384074046735</v>
      </c>
      <c r="R386" s="344">
        <f t="shared" si="148"/>
        <v>-102.74235416651828</v>
      </c>
      <c r="S386" s="346">
        <f t="shared" si="149"/>
        <v>77.257645833481718</v>
      </c>
      <c r="U386" s="319">
        <f t="shared" si="155"/>
        <v>1000000000</v>
      </c>
      <c r="V386" s="319">
        <f t="shared" si="156"/>
        <v>1109272983.0625</v>
      </c>
      <c r="X386" s="345">
        <f t="shared" si="150"/>
        <v>37.289489364192342</v>
      </c>
      <c r="Y386" s="346">
        <f t="shared" si="151"/>
        <v>-14.146518713570597</v>
      </c>
      <c r="AA386" s="345">
        <f t="shared" si="152"/>
        <v>24.730396056129095</v>
      </c>
      <c r="AB386" s="346">
        <f t="shared" si="153"/>
        <v>-88.595835452947696</v>
      </c>
      <c r="AD386">
        <f t="shared" si="157"/>
        <v>0</v>
      </c>
      <c r="AE386">
        <f t="shared" si="160"/>
        <v>0</v>
      </c>
    </row>
    <row r="387" spans="1:31" x14ac:dyDescent="0.2">
      <c r="A387" s="347">
        <v>33498.5</v>
      </c>
      <c r="B387" s="364">
        <f t="shared" si="154"/>
        <v>33.4985</v>
      </c>
      <c r="C387" s="337">
        <f t="shared" si="135"/>
        <v>66.48936551317432</v>
      </c>
      <c r="D387" s="338">
        <f t="shared" si="136"/>
        <v>1.555755760587324</v>
      </c>
      <c r="E387" s="338">
        <f t="shared" si="137"/>
        <v>1.0012750469007179</v>
      </c>
      <c r="F387" s="339">
        <f t="shared" si="138"/>
        <v>5.0471647208713048E-2</v>
      </c>
      <c r="G387" s="338">
        <f t="shared" si="139"/>
        <v>1</v>
      </c>
      <c r="H387" s="339">
        <f t="shared" si="140"/>
        <v>0</v>
      </c>
      <c r="I387" s="337">
        <f t="shared" si="141"/>
        <v>6337.1317737866475</v>
      </c>
      <c r="J387" s="340">
        <f t="shared" si="142"/>
        <v>1.5706385266985996</v>
      </c>
      <c r="K387" s="348">
        <f t="shared" si="158"/>
        <v>6.0581327804593252</v>
      </c>
      <c r="L387" s="349">
        <f t="shared" si="159"/>
        <v>1.4049700164218797</v>
      </c>
      <c r="M387" s="337">
        <f t="shared" si="143"/>
        <v>1.0032696793410063</v>
      </c>
      <c r="N387" s="340">
        <f t="shared" si="144"/>
        <v>8.0756363528901004E-2</v>
      </c>
      <c r="O387" s="341">
        <f t="shared" si="145"/>
        <v>0.99971957219631524</v>
      </c>
      <c r="P387" s="342">
        <f t="shared" si="146"/>
        <v>4.103842059102266E-2</v>
      </c>
      <c r="Q387" s="343">
        <f t="shared" si="147"/>
        <v>5.1701839879104625</v>
      </c>
      <c r="R387" s="344">
        <f t="shared" si="148"/>
        <v>-102.71686031591197</v>
      </c>
      <c r="S387" s="346">
        <f t="shared" si="149"/>
        <v>77.283139684088027</v>
      </c>
      <c r="U387" s="319">
        <f t="shared" si="155"/>
        <v>1000000000</v>
      </c>
      <c r="V387" s="319">
        <f t="shared" si="156"/>
        <v>1122149502.25</v>
      </c>
      <c r="X387" s="345">
        <f t="shared" si="150"/>
        <v>37.287791654209514</v>
      </c>
      <c r="Y387" s="346">
        <f t="shared" si="151"/>
        <v>-14.119105252239422</v>
      </c>
      <c r="AA387" s="345">
        <f t="shared" si="152"/>
        <v>24.68043934661771</v>
      </c>
      <c r="AB387" s="346">
        <f t="shared" si="153"/>
        <v>-88.597755063672565</v>
      </c>
      <c r="AD387">
        <f t="shared" si="157"/>
        <v>0</v>
      </c>
      <c r="AE387">
        <f t="shared" si="160"/>
        <v>0</v>
      </c>
    </row>
    <row r="388" spans="1:31" x14ac:dyDescent="0.2">
      <c r="A388" s="347">
        <v>33691.25</v>
      </c>
      <c r="B388" s="364">
        <f t="shared" si="154"/>
        <v>33.691249999999997</v>
      </c>
      <c r="C388" s="337">
        <f t="shared" si="135"/>
        <v>66.871858297434557</v>
      </c>
      <c r="D388" s="338">
        <f t="shared" si="136"/>
        <v>1.5558417958541861</v>
      </c>
      <c r="E388" s="338">
        <f t="shared" si="137"/>
        <v>1.0012897528496325</v>
      </c>
      <c r="F388" s="339">
        <f t="shared" si="138"/>
        <v>5.0761563311249681E-2</v>
      </c>
      <c r="G388" s="338">
        <f t="shared" si="139"/>
        <v>1</v>
      </c>
      <c r="H388" s="339">
        <f t="shared" si="140"/>
        <v>0</v>
      </c>
      <c r="I388" s="337">
        <f t="shared" si="141"/>
        <v>6373.5955593014733</v>
      </c>
      <c r="J388" s="340">
        <f t="shared" si="142"/>
        <v>1.5706394294839834</v>
      </c>
      <c r="K388" s="348">
        <f t="shared" si="158"/>
        <v>6.0920440572663397</v>
      </c>
      <c r="L388" s="349">
        <f t="shared" si="159"/>
        <v>1.4059015688252618</v>
      </c>
      <c r="M388" s="337">
        <f t="shared" si="143"/>
        <v>1.0033073527946277</v>
      </c>
      <c r="N388" s="340">
        <f t="shared" si="144"/>
        <v>8.1218999769153172E-2</v>
      </c>
      <c r="O388" s="341">
        <f t="shared" si="145"/>
        <v>0.99971634264798204</v>
      </c>
      <c r="P388" s="342">
        <f t="shared" si="146"/>
        <v>4.1274822423080629E-2</v>
      </c>
      <c r="Q388" s="343">
        <f t="shared" si="147"/>
        <v>5.1188390759091611</v>
      </c>
      <c r="R388" s="344">
        <f t="shared" si="148"/>
        <v>-102.69190844042129</v>
      </c>
      <c r="S388" s="346">
        <f t="shared" si="149"/>
        <v>77.308091559578713</v>
      </c>
      <c r="U388" s="319">
        <f t="shared" si="155"/>
        <v>1000000000</v>
      </c>
      <c r="V388" s="319">
        <f t="shared" si="156"/>
        <v>1135100326.5625</v>
      </c>
      <c r="X388" s="345">
        <f t="shared" si="150"/>
        <v>37.286115178331407</v>
      </c>
      <c r="Y388" s="346">
        <f t="shared" si="151"/>
        <v>-14.092290060908265</v>
      </c>
      <c r="AA388" s="345">
        <f t="shared" si="152"/>
        <v>24.630770910494512</v>
      </c>
      <c r="AB388" s="346">
        <f t="shared" si="153"/>
        <v>-88.599618379513018</v>
      </c>
      <c r="AD388">
        <f t="shared" si="157"/>
        <v>0</v>
      </c>
      <c r="AE388">
        <f t="shared" si="160"/>
        <v>0</v>
      </c>
    </row>
    <row r="389" spans="1:31" x14ac:dyDescent="0.2">
      <c r="A389" s="347">
        <v>33884</v>
      </c>
      <c r="B389" s="364">
        <f t="shared" si="154"/>
        <v>33.884</v>
      </c>
      <c r="C389" s="337">
        <f t="shared" si="135"/>
        <v>67.254351571054514</v>
      </c>
      <c r="D389" s="338">
        <f t="shared" si="136"/>
        <v>1.5559268525110661</v>
      </c>
      <c r="E389" s="338">
        <f t="shared" si="137"/>
        <v>1.0013045429558227</v>
      </c>
      <c r="F389" s="339">
        <f t="shared" si="138"/>
        <v>5.1051470873545848E-2</v>
      </c>
      <c r="G389" s="338">
        <f t="shared" si="139"/>
        <v>1</v>
      </c>
      <c r="H389" s="339">
        <f t="shared" si="140"/>
        <v>0</v>
      </c>
      <c r="I389" s="337">
        <f t="shared" si="141"/>
        <v>6410.0593448214349</v>
      </c>
      <c r="J389" s="340">
        <f t="shared" si="142"/>
        <v>1.570640321998332</v>
      </c>
      <c r="K389" s="348">
        <f t="shared" si="158"/>
        <v>6.1259605621550079</v>
      </c>
      <c r="L389" s="349">
        <f t="shared" si="159"/>
        <v>1.4068228069031781</v>
      </c>
      <c r="M389" s="337">
        <f t="shared" si="143"/>
        <v>1.0033452409722674</v>
      </c>
      <c r="N389" s="340">
        <f t="shared" si="144"/>
        <v>8.1681601168405379E-2</v>
      </c>
      <c r="O389" s="341">
        <f t="shared" si="145"/>
        <v>0.99971309472886827</v>
      </c>
      <c r="P389" s="342">
        <f t="shared" si="146"/>
        <v>4.1511228853803372E-2</v>
      </c>
      <c r="Q389" s="343">
        <f t="shared" si="147"/>
        <v>5.0677998829378348</v>
      </c>
      <c r="R389" s="344">
        <f t="shared" si="148"/>
        <v>-102.66748963010176</v>
      </c>
      <c r="S389" s="346">
        <f t="shared" si="149"/>
        <v>77.332510369898245</v>
      </c>
      <c r="U389" s="319">
        <f t="shared" si="155"/>
        <v>1000000000</v>
      </c>
      <c r="V389" s="319">
        <f t="shared" si="156"/>
        <v>1148125456</v>
      </c>
      <c r="X389" s="345">
        <f t="shared" si="150"/>
        <v>37.284459424933004</v>
      </c>
      <c r="Y389" s="346">
        <f t="shared" si="151"/>
        <v>-14.066063252166279</v>
      </c>
      <c r="AA389" s="345">
        <f t="shared" si="152"/>
        <v>24.581387470921591</v>
      </c>
      <c r="AB389" s="346">
        <f t="shared" si="153"/>
        <v>-88.601426377935468</v>
      </c>
      <c r="AD389">
        <f t="shared" si="157"/>
        <v>0</v>
      </c>
      <c r="AE389">
        <f t="shared" si="160"/>
        <v>0</v>
      </c>
    </row>
    <row r="390" spans="1:31" x14ac:dyDescent="0.2">
      <c r="A390" s="347">
        <v>34081.5</v>
      </c>
      <c r="B390" s="364">
        <f t="shared" si="154"/>
        <v>34.081499999999998</v>
      </c>
      <c r="C390" s="337">
        <f t="shared" si="135"/>
        <v>67.646271247869436</v>
      </c>
      <c r="D390" s="338">
        <f t="shared" si="136"/>
        <v>1.5560130075238927</v>
      </c>
      <c r="E390" s="338">
        <f t="shared" si="137"/>
        <v>1.00131978482914</v>
      </c>
      <c r="F390" s="339">
        <f t="shared" si="138"/>
        <v>5.1348513811686092E-2</v>
      </c>
      <c r="G390" s="338">
        <f t="shared" si="139"/>
        <v>1</v>
      </c>
      <c r="H390" s="339">
        <f t="shared" si="140"/>
        <v>0</v>
      </c>
      <c r="I390" s="337">
        <f t="shared" si="141"/>
        <v>6447.4217190948548</v>
      </c>
      <c r="J390" s="340">
        <f t="shared" si="142"/>
        <v>1.5706412260356197</v>
      </c>
      <c r="K390" s="348">
        <f t="shared" si="158"/>
        <v>6.1607182149642892</v>
      </c>
      <c r="L390" s="349">
        <f t="shared" si="159"/>
        <v>1.4077562251487783</v>
      </c>
      <c r="M390" s="337">
        <f t="shared" si="143"/>
        <v>1.0033842855414556</v>
      </c>
      <c r="N390" s="340">
        <f t="shared" si="144"/>
        <v>8.2155566259744142E-2</v>
      </c>
      <c r="O390" s="341">
        <f t="shared" si="145"/>
        <v>0.99970974771765886</v>
      </c>
      <c r="P390" s="342">
        <f t="shared" si="146"/>
        <v>4.1753465921477668E-2</v>
      </c>
      <c r="Q390" s="343">
        <f t="shared" si="147"/>
        <v>5.0158161390164748</v>
      </c>
      <c r="R390" s="344">
        <f t="shared" si="148"/>
        <v>-102.64301287452037</v>
      </c>
      <c r="S390" s="346">
        <f t="shared" si="149"/>
        <v>77.356987125479634</v>
      </c>
      <c r="U390" s="319">
        <f t="shared" si="155"/>
        <v>1000000000</v>
      </c>
      <c r="V390" s="319">
        <f t="shared" si="156"/>
        <v>1161548642.25</v>
      </c>
      <c r="X390" s="345">
        <f t="shared" si="150"/>
        <v>37.282783842792789</v>
      </c>
      <c r="Y390" s="346">
        <f t="shared" si="151"/>
        <v>-14.039790323034213</v>
      </c>
      <c r="AA390" s="345">
        <f t="shared" si="152"/>
        <v>24.531079309140445</v>
      </c>
      <c r="AB390" s="346">
        <f t="shared" si="153"/>
        <v>-88.603222551486155</v>
      </c>
      <c r="AD390">
        <f t="shared" si="157"/>
        <v>0</v>
      </c>
      <c r="AE390">
        <f t="shared" si="160"/>
        <v>0</v>
      </c>
    </row>
    <row r="391" spans="1:31" x14ac:dyDescent="0.2">
      <c r="A391" s="347">
        <v>34279</v>
      </c>
      <c r="B391" s="364">
        <f t="shared" si="154"/>
        <v>34.279000000000003</v>
      </c>
      <c r="C391" s="337">
        <f t="shared" si="135"/>
        <v>68.03819142101672</v>
      </c>
      <c r="D391" s="338">
        <f t="shared" si="136"/>
        <v>1.5560981699804641</v>
      </c>
      <c r="E391" s="338">
        <f t="shared" si="137"/>
        <v>1.0013351150507208</v>
      </c>
      <c r="F391" s="339">
        <f t="shared" si="138"/>
        <v>5.1645547680709489E-2</v>
      </c>
      <c r="G391" s="338">
        <f t="shared" si="139"/>
        <v>1</v>
      </c>
      <c r="H391" s="339">
        <f t="shared" si="140"/>
        <v>0</v>
      </c>
      <c r="I391" s="337">
        <f t="shared" si="141"/>
        <v>6484.7840933734842</v>
      </c>
      <c r="J391" s="340">
        <f t="shared" si="142"/>
        <v>1.5706421196556049</v>
      </c>
      <c r="K391" s="348">
        <f t="shared" si="158"/>
        <v>6.1954811751907517</v>
      </c>
      <c r="L391" s="349">
        <f t="shared" si="159"/>
        <v>1.4086791693366989</v>
      </c>
      <c r="M391" s="337">
        <f t="shared" si="143"/>
        <v>1.0034235554962361</v>
      </c>
      <c r="N391" s="340">
        <f t="shared" si="144"/>
        <v>8.2629494359372793E-2</v>
      </c>
      <c r="O391" s="341">
        <f t="shared" si="145"/>
        <v>0.99970638142488844</v>
      </c>
      <c r="P391" s="342">
        <f t="shared" si="146"/>
        <v>4.19957078731431E-2</v>
      </c>
      <c r="Q391" s="343">
        <f t="shared" si="147"/>
        <v>4.9641455373694079</v>
      </c>
      <c r="R391" s="344">
        <f t="shared" si="148"/>
        <v>-102.61907745207252</v>
      </c>
      <c r="S391" s="346">
        <f t="shared" si="149"/>
        <v>77.380922547927483</v>
      </c>
      <c r="U391" s="319">
        <f t="shared" si="155"/>
        <v>1000000000</v>
      </c>
      <c r="V391" s="319">
        <f t="shared" si="156"/>
        <v>1175049841</v>
      </c>
      <c r="X391" s="345">
        <f t="shared" si="150"/>
        <v>37.281128974273948</v>
      </c>
      <c r="Y391" s="346">
        <f t="shared" si="151"/>
        <v>-14.014114796865908</v>
      </c>
      <c r="AA391" s="345">
        <f t="shared" si="152"/>
        <v>24.481063576012225</v>
      </c>
      <c r="AB391" s="346">
        <f t="shared" si="153"/>
        <v>-88.604962655206606</v>
      </c>
      <c r="AD391">
        <f t="shared" si="157"/>
        <v>0</v>
      </c>
      <c r="AE391">
        <f t="shared" si="160"/>
        <v>0</v>
      </c>
    </row>
    <row r="392" spans="1:31" x14ac:dyDescent="0.2">
      <c r="A392" s="347">
        <v>34476.5</v>
      </c>
      <c r="B392" s="364">
        <f t="shared" si="154"/>
        <v>34.476500000000001</v>
      </c>
      <c r="C392" s="337">
        <f t="shared" si="135"/>
        <v>68.430112081968431</v>
      </c>
      <c r="D392" s="338">
        <f t="shared" si="136"/>
        <v>1.5561823569335749</v>
      </c>
      <c r="E392" s="338">
        <f t="shared" si="137"/>
        <v>1.0013505336165069</v>
      </c>
      <c r="F392" s="339">
        <f t="shared" si="138"/>
        <v>5.1942572428619702E-2</v>
      </c>
      <c r="G392" s="338">
        <f t="shared" si="139"/>
        <v>1</v>
      </c>
      <c r="H392" s="339">
        <f t="shared" si="140"/>
        <v>0</v>
      </c>
      <c r="I392" s="337">
        <f t="shared" si="141"/>
        <v>6522.1464676572314</v>
      </c>
      <c r="J392" s="340">
        <f t="shared" si="142"/>
        <v>1.5706430030373151</v>
      </c>
      <c r="K392" s="348">
        <f t="shared" si="158"/>
        <v>6.2302493539929129</v>
      </c>
      <c r="L392" s="349">
        <f t="shared" si="159"/>
        <v>1.4095918132340663</v>
      </c>
      <c r="M392" s="337">
        <f t="shared" si="143"/>
        <v>1.0034630508101483</v>
      </c>
      <c r="N392" s="340">
        <f t="shared" si="144"/>
        <v>8.3103385258750898E-2</v>
      </c>
      <c r="O392" s="341">
        <f t="shared" si="145"/>
        <v>0.99970299585352296</v>
      </c>
      <c r="P392" s="342">
        <f t="shared" si="146"/>
        <v>4.22379547370796E-2</v>
      </c>
      <c r="Q392" s="343">
        <f t="shared" si="147"/>
        <v>4.9127842247925919</v>
      </c>
      <c r="R392" s="344">
        <f t="shared" si="148"/>
        <v>-102.59567438659693</v>
      </c>
      <c r="S392" s="346">
        <f t="shared" si="149"/>
        <v>77.404325613403074</v>
      </c>
      <c r="U392" s="319">
        <f t="shared" si="155"/>
        <v>1000000000</v>
      </c>
      <c r="V392" s="319">
        <f t="shared" si="156"/>
        <v>1188629052.25</v>
      </c>
      <c r="X392" s="345">
        <f t="shared" si="150"/>
        <v>37.279494313417551</v>
      </c>
      <c r="Y392" s="346">
        <f t="shared" si="151"/>
        <v>-13.989026715847427</v>
      </c>
      <c r="AA392" s="345">
        <f t="shared" si="152"/>
        <v>24.431336924291802</v>
      </c>
      <c r="AB392" s="346">
        <f t="shared" si="153"/>
        <v>-88.606647670749496</v>
      </c>
      <c r="AD392">
        <f t="shared" si="157"/>
        <v>0</v>
      </c>
      <c r="AE392">
        <f t="shared" si="160"/>
        <v>0</v>
      </c>
    </row>
    <row r="393" spans="1:31" x14ac:dyDescent="0.2">
      <c r="A393" s="347">
        <v>34674</v>
      </c>
      <c r="B393" s="364">
        <f t="shared" si="154"/>
        <v>34.673999999999999</v>
      </c>
      <c r="C393" s="337">
        <f t="shared" si="135"/>
        <v>68.822033222390871</v>
      </c>
      <c r="D393" s="338">
        <f t="shared" si="136"/>
        <v>1.556265585047633</v>
      </c>
      <c r="E393" s="338">
        <f t="shared" si="137"/>
        <v>1.0013660405224183</v>
      </c>
      <c r="F393" s="339">
        <f t="shared" si="138"/>
        <v>5.2239588003430044E-2</v>
      </c>
      <c r="G393" s="338">
        <f t="shared" si="139"/>
        <v>1</v>
      </c>
      <c r="H393" s="339">
        <f t="shared" si="140"/>
        <v>0</v>
      </c>
      <c r="I393" s="337">
        <f t="shared" si="141"/>
        <v>6559.5088419460108</v>
      </c>
      <c r="J393" s="340">
        <f t="shared" si="142"/>
        <v>1.5706438763556994</v>
      </c>
      <c r="K393" s="348">
        <f t="shared" si="158"/>
        <v>6.2650226644882272</v>
      </c>
      <c r="L393" s="349">
        <f t="shared" si="159"/>
        <v>1.410494326819614</v>
      </c>
      <c r="M393" s="337">
        <f t="shared" si="143"/>
        <v>1.0035027714565832</v>
      </c>
      <c r="N393" s="340">
        <f t="shared" si="144"/>
        <v>8.357723874943758E-2</v>
      </c>
      <c r="O393" s="341">
        <f t="shared" si="145"/>
        <v>0.99969959100654548</v>
      </c>
      <c r="P393" s="342">
        <f t="shared" si="146"/>
        <v>4.2480206541566742E-2</v>
      </c>
      <c r="Q393" s="343">
        <f t="shared" si="147"/>
        <v>4.8617284194081254</v>
      </c>
      <c r="R393" s="344">
        <f t="shared" si="148"/>
        <v>-102.57279489650978</v>
      </c>
      <c r="S393" s="346">
        <f t="shared" si="149"/>
        <v>77.427205103490223</v>
      </c>
      <c r="U393" s="319">
        <f t="shared" si="155"/>
        <v>1000000000</v>
      </c>
      <c r="V393" s="319">
        <f t="shared" si="156"/>
        <v>1202286276</v>
      </c>
      <c r="X393" s="345">
        <f t="shared" si="150"/>
        <v>37.277879368281312</v>
      </c>
      <c r="Y393" s="346">
        <f t="shared" si="151"/>
        <v>-13.964516338995805</v>
      </c>
      <c r="AA393" s="345">
        <f t="shared" si="152"/>
        <v>24.381896064043573</v>
      </c>
      <c r="AB393" s="346">
        <f t="shared" si="153"/>
        <v>-88.608278557513984</v>
      </c>
      <c r="AD393">
        <f t="shared" si="157"/>
        <v>0</v>
      </c>
      <c r="AE393">
        <f t="shared" si="160"/>
        <v>0</v>
      </c>
    </row>
    <row r="394" spans="1:31" x14ac:dyDescent="0.2">
      <c r="A394" s="347">
        <v>34875.75</v>
      </c>
      <c r="B394" s="364">
        <f t="shared" si="154"/>
        <v>34.875749999999996</v>
      </c>
      <c r="C394" s="337">
        <f t="shared" si="135"/>
        <v>69.222388595462334</v>
      </c>
      <c r="D394" s="338">
        <f t="shared" si="136"/>
        <v>1.556349631070568</v>
      </c>
      <c r="E394" s="338">
        <f t="shared" si="137"/>
        <v>1.0013819723290374</v>
      </c>
      <c r="F394" s="339">
        <f t="shared" si="138"/>
        <v>5.2542985527265856E-2</v>
      </c>
      <c r="G394" s="338">
        <f t="shared" si="139"/>
        <v>1</v>
      </c>
      <c r="H394" s="339">
        <f t="shared" si="140"/>
        <v>0</v>
      </c>
      <c r="I394" s="337">
        <f t="shared" si="141"/>
        <v>6597.6752166992746</v>
      </c>
      <c r="J394" s="340">
        <f t="shared" si="142"/>
        <v>1.5706447582543146</v>
      </c>
      <c r="K394" s="348">
        <f t="shared" si="158"/>
        <v>6.3005494715780133</v>
      </c>
      <c r="L394" s="349">
        <f t="shared" si="159"/>
        <v>1.4114059748448262</v>
      </c>
      <c r="M394" s="337">
        <f t="shared" si="143"/>
        <v>1.0035435794813672</v>
      </c>
      <c r="N394" s="340">
        <f t="shared" si="144"/>
        <v>8.4061250245887342E-2</v>
      </c>
      <c r="O394" s="341">
        <f t="shared" si="145"/>
        <v>0.9996960929915667</v>
      </c>
      <c r="P394" s="342">
        <f t="shared" si="146"/>
        <v>4.2727676490144119E-2</v>
      </c>
      <c r="Q394" s="343">
        <f t="shared" si="147"/>
        <v>4.8098855239161225</v>
      </c>
      <c r="R394" s="344">
        <f t="shared" si="148"/>
        <v>-102.54995472566689</v>
      </c>
      <c r="S394" s="346">
        <f t="shared" si="149"/>
        <v>77.450045274333107</v>
      </c>
      <c r="U394" s="319">
        <f t="shared" si="155"/>
        <v>1000000000</v>
      </c>
      <c r="V394" s="319">
        <f t="shared" si="156"/>
        <v>1216317938.0625</v>
      </c>
      <c r="X394" s="345">
        <f t="shared" si="150"/>
        <v>37.276249530431549</v>
      </c>
      <c r="Y394" s="346">
        <f t="shared" si="151"/>
        <v>-13.940065099772758</v>
      </c>
      <c r="AA394" s="345">
        <f t="shared" si="152"/>
        <v>24.331683006401331</v>
      </c>
      <c r="AB394" s="346">
        <f t="shared" si="153"/>
        <v>-88.609889625894141</v>
      </c>
      <c r="AD394">
        <f t="shared" si="157"/>
        <v>0</v>
      </c>
      <c r="AE394">
        <f t="shared" si="160"/>
        <v>0</v>
      </c>
    </row>
    <row r="395" spans="1:31" x14ac:dyDescent="0.2">
      <c r="A395" s="347">
        <v>35077.5</v>
      </c>
      <c r="B395" s="364">
        <f t="shared" si="154"/>
        <v>35.077500000000001</v>
      </c>
      <c r="C395" s="337">
        <f t="shared" si="135"/>
        <v>69.62274445187883</v>
      </c>
      <c r="D395" s="338">
        <f t="shared" si="136"/>
        <v>1.5564327105042792</v>
      </c>
      <c r="E395" s="338">
        <f t="shared" si="137"/>
        <v>1.0013979963099864</v>
      </c>
      <c r="F395" s="339">
        <f t="shared" si="138"/>
        <v>5.2846373369329645E-2</v>
      </c>
      <c r="G395" s="338">
        <f t="shared" si="139"/>
        <v>1</v>
      </c>
      <c r="H395" s="339">
        <f t="shared" si="140"/>
        <v>0</v>
      </c>
      <c r="I395" s="337">
        <f t="shared" si="141"/>
        <v>6635.8415914576126</v>
      </c>
      <c r="J395" s="340">
        <f t="shared" si="142"/>
        <v>1.570645630008362</v>
      </c>
      <c r="K395" s="348">
        <f t="shared" si="158"/>
        <v>6.3360814563436652</v>
      </c>
      <c r="L395" s="349">
        <f t="shared" si="159"/>
        <v>1.4123073987866896</v>
      </c>
      <c r="M395" s="337">
        <f t="shared" si="143"/>
        <v>1.0035846225842728</v>
      </c>
      <c r="N395" s="340">
        <f t="shared" si="144"/>
        <v>8.4545222266951589E-2</v>
      </c>
      <c r="O395" s="341">
        <f t="shared" si="145"/>
        <v>0.99969257486881458</v>
      </c>
      <c r="P395" s="342">
        <f t="shared" si="146"/>
        <v>4.2975151653844433E-2</v>
      </c>
      <c r="Q395" s="343">
        <f t="shared" si="147"/>
        <v>4.7583536678801019</v>
      </c>
      <c r="R395" s="344">
        <f t="shared" si="148"/>
        <v>-102.52764298068216</v>
      </c>
      <c r="S395" s="346">
        <f t="shared" si="149"/>
        <v>77.47235701931784</v>
      </c>
      <c r="U395" s="319">
        <f t="shared" si="155"/>
        <v>1000000000</v>
      </c>
      <c r="V395" s="319">
        <f t="shared" si="156"/>
        <v>1230431006.25</v>
      </c>
      <c r="X395" s="345">
        <f t="shared" si="150"/>
        <v>37.274639270992665</v>
      </c>
      <c r="Y395" s="346">
        <f t="shared" si="151"/>
        <v>-13.916196814361756</v>
      </c>
      <c r="AA395" s="345">
        <f t="shared" si="152"/>
        <v>24.281761409804197</v>
      </c>
      <c r="AB395" s="346">
        <f t="shared" si="153"/>
        <v>-88.611446166320405</v>
      </c>
      <c r="AD395">
        <f t="shared" si="157"/>
        <v>0</v>
      </c>
      <c r="AE395">
        <f t="shared" si="160"/>
        <v>0</v>
      </c>
    </row>
    <row r="396" spans="1:31" x14ac:dyDescent="0.2">
      <c r="A396" s="347">
        <v>35279.25</v>
      </c>
      <c r="B396" s="364">
        <f t="shared" si="154"/>
        <v>35.279249999999998</v>
      </c>
      <c r="C396" s="337">
        <f t="shared" si="135"/>
        <v>70.023100783349847</v>
      </c>
      <c r="D396" s="338">
        <f t="shared" si="136"/>
        <v>1.5565148399270006</v>
      </c>
      <c r="E396" s="338">
        <f t="shared" si="137"/>
        <v>1.0014141124608409</v>
      </c>
      <c r="F396" s="339">
        <f t="shared" si="138"/>
        <v>5.3149751474237325E-2</v>
      </c>
      <c r="G396" s="338">
        <f t="shared" si="139"/>
        <v>1</v>
      </c>
      <c r="H396" s="339">
        <f t="shared" si="140"/>
        <v>0</v>
      </c>
      <c r="I396" s="337">
        <f t="shared" si="141"/>
        <v>6674.0079662209337</v>
      </c>
      <c r="J396" s="340">
        <f t="shared" si="142"/>
        <v>1.5706464917918814</v>
      </c>
      <c r="K396" s="348">
        <f t="shared" si="158"/>
        <v>6.3716185321636569</v>
      </c>
      <c r="L396" s="349">
        <f t="shared" si="159"/>
        <v>1.4131987682393403</v>
      </c>
      <c r="M396" s="337">
        <f t="shared" si="143"/>
        <v>1.0036259007364596</v>
      </c>
      <c r="N396" s="340">
        <f t="shared" si="144"/>
        <v>8.5029154590766778E-2</v>
      </c>
      <c r="O396" s="341">
        <f t="shared" si="145"/>
        <v>0.9996890366415242</v>
      </c>
      <c r="P396" s="342">
        <f t="shared" si="146"/>
        <v>4.3222632062811177E-2</v>
      </c>
      <c r="Q396" s="343">
        <f t="shared" si="147"/>
        <v>4.7071290392781506</v>
      </c>
      <c r="R396" s="344">
        <f t="shared" si="148"/>
        <v>-102.50585089655043</v>
      </c>
      <c r="S396" s="346">
        <f t="shared" si="149"/>
        <v>77.494149103449573</v>
      </c>
      <c r="U396" s="319">
        <f t="shared" si="155"/>
        <v>1000000000</v>
      </c>
      <c r="V396" s="319">
        <f t="shared" si="156"/>
        <v>1244625480.5625</v>
      </c>
      <c r="X396" s="345">
        <f t="shared" si="150"/>
        <v>37.273048107952064</v>
      </c>
      <c r="Y396" s="346">
        <f t="shared" si="151"/>
        <v>-13.892901762994459</v>
      </c>
      <c r="AA396" s="345">
        <f t="shared" si="152"/>
        <v>24.232127944242841</v>
      </c>
      <c r="AB396" s="346">
        <f t="shared" si="153"/>
        <v>-88.612949133555972</v>
      </c>
      <c r="AD396">
        <f t="shared" si="157"/>
        <v>0</v>
      </c>
      <c r="AE396">
        <f t="shared" si="160"/>
        <v>0</v>
      </c>
    </row>
    <row r="397" spans="1:31" x14ac:dyDescent="0.2">
      <c r="A397" s="347">
        <v>35481</v>
      </c>
      <c r="B397" s="364">
        <f t="shared" si="154"/>
        <v>35.481000000000002</v>
      </c>
      <c r="C397" s="337">
        <f t="shared" ref="C397:C460" si="161">SQRT(1+(A397/pole1)^2)</f>
        <v>70.42345758177332</v>
      </c>
      <c r="D397" s="338">
        <f t="shared" ref="D397:D460" si="162">ATAN(A397/pole1)</f>
        <v>1.5565960355400297</v>
      </c>
      <c r="E397" s="338">
        <f t="shared" ref="E397:E460" si="163">SQRT(1+(A397/Zero1)^2)</f>
        <v>1.0014303207771511</v>
      </c>
      <c r="F397" s="339">
        <f t="shared" ref="F397:F460" si="164">ATAN(A397/Zero1)</f>
        <v>5.3453119786615579E-2</v>
      </c>
      <c r="G397" s="338">
        <f t="shared" ref="G397:G460" si="165">IF(VIN_nom&gt;Vout, 1, SQRT(1+(A397/z_RHP)^2))</f>
        <v>1</v>
      </c>
      <c r="H397" s="339">
        <f t="shared" ref="H397:H460" si="166">IF(VIN_nom&gt;Vout, 0, -ATAN(A397/z_RHP))</f>
        <v>0</v>
      </c>
      <c r="I397" s="337">
        <f t="shared" ref="I397:I460" si="167">SQRT(1+(A397/Pole2)^2)</f>
        <v>6712.174340989156</v>
      </c>
      <c r="J397" s="340">
        <f t="shared" ref="J397:J460" si="168">ATAN(A397/Pole2)</f>
        <v>1.5706473437749544</v>
      </c>
      <c r="K397" s="348">
        <f t="shared" si="158"/>
        <v>6.4071606143259672</v>
      </c>
      <c r="L397" s="349">
        <f t="shared" si="159"/>
        <v>1.4140802490985154</v>
      </c>
      <c r="M397" s="337">
        <f t="shared" ref="M397:M460" si="169">SQRT(1+(A397/pole4)^2)</f>
        <v>1.003667413908927</v>
      </c>
      <c r="N397" s="340">
        <f t="shared" ref="N397:N460" si="170">ATAN(A397/pole4)</f>
        <v>8.5513046995580225E-2</v>
      </c>
      <c r="O397" s="341">
        <f t="shared" ref="O397:O460" si="171">SQRT((1-(V397/pterm2))^2+(A397/pterm1)^2)</f>
        <v>0.99968547831294985</v>
      </c>
      <c r="P397" s="342">
        <f t="shared" ref="P397:P460" si="172">IF((ATAN((A397/pterm1)/(1-A397^2/pterm2))&gt;0),ATAN((A397/pterm1)/(1-A397^2/pterm2)),PI()+ATAN((A397/pterm1)/(1-A397^2/pterm2)))</f>
        <v>4.3470117747187356E-2</v>
      </c>
      <c r="Q397" s="343">
        <f t="shared" ref="Q397:Q460" si="173">20*LOG10(((E397*K397*G397)/(C397*I397*O397*M397))*Adc)</f>
        <v>4.6562078963543847</v>
      </c>
      <c r="R397" s="344">
        <f t="shared" ref="R397:R460" si="174">((F397+L397+H397)-(D397+J397+P397+N397))*radconv</f>
        <v>-102.48456989835127</v>
      </c>
      <c r="S397" s="346">
        <f t="shared" ref="S397:S460" si="175">IF(R397&gt;0,R397,R397+180)</f>
        <v>77.515430101648732</v>
      </c>
      <c r="U397" s="319">
        <f t="shared" si="155"/>
        <v>1000000000</v>
      </c>
      <c r="V397" s="319">
        <f t="shared" si="156"/>
        <v>1258901361</v>
      </c>
      <c r="X397" s="345">
        <f t="shared" ref="X397:X460" si="176">20*LOG10((K397/(I397*M397))*AEA)</f>
        <v>37.271475572644903</v>
      </c>
      <c r="Y397" s="346">
        <f t="shared" ref="Y397:Y460" si="177">(L397-(J397+N397))*radconv</f>
        <v>-13.870170437584729</v>
      </c>
      <c r="AA397" s="345">
        <f t="shared" ref="AA397:AA460" si="178">20*LOG10((E397*G397/(C397*O397))*Acs*Am)</f>
        <v>24.182779336626243</v>
      </c>
      <c r="AB397" s="346">
        <f t="shared" ref="AB397:AB460" si="179">(F397+H397-(D397+P397))*radconv</f>
        <v>-88.614399460766577</v>
      </c>
      <c r="AD397">
        <f t="shared" si="157"/>
        <v>0</v>
      </c>
      <c r="AE397">
        <f t="shared" si="160"/>
        <v>0</v>
      </c>
    </row>
    <row r="398" spans="1:31" x14ac:dyDescent="0.2">
      <c r="A398" s="347">
        <v>35687.75</v>
      </c>
      <c r="B398" s="364">
        <f t="shared" ref="B398:B461" si="180">A398/1000</f>
        <v>35.687750000000001</v>
      </c>
      <c r="C398" s="337">
        <f t="shared" si="161"/>
        <v>70.833736957940971</v>
      </c>
      <c r="D398" s="338">
        <f t="shared" si="162"/>
        <v>1.5566782911872614</v>
      </c>
      <c r="E398" s="338">
        <f t="shared" si="163"/>
        <v>1.0014470264018578</v>
      </c>
      <c r="F398" s="339">
        <f t="shared" si="164"/>
        <v>5.3763996303130744E-2</v>
      </c>
      <c r="G398" s="338">
        <f t="shared" si="165"/>
        <v>1</v>
      </c>
      <c r="H398" s="339">
        <f t="shared" si="166"/>
        <v>0</v>
      </c>
      <c r="I398" s="337">
        <f t="shared" si="167"/>
        <v>6751.2865986562592</v>
      </c>
      <c r="J398" s="340">
        <f t="shared" si="168"/>
        <v>1.5706482068789305</v>
      </c>
      <c r="K398" s="348">
        <f t="shared" si="158"/>
        <v>6.4435886484822777</v>
      </c>
      <c r="L398" s="349">
        <f t="shared" si="159"/>
        <v>1.4149734863398962</v>
      </c>
      <c r="M398" s="337">
        <f t="shared" si="169"/>
        <v>1.0037101997072326</v>
      </c>
      <c r="N398" s="340">
        <f t="shared" si="170"/>
        <v>8.6008890130130286E-2</v>
      </c>
      <c r="O398" s="341">
        <f t="shared" si="171"/>
        <v>0.99968181094650088</v>
      </c>
      <c r="P398" s="342">
        <f t="shared" si="172"/>
        <v>4.372374241044575E-2</v>
      </c>
      <c r="Q398" s="343">
        <f t="shared" si="173"/>
        <v>4.6043357861678089</v>
      </c>
      <c r="R398" s="344">
        <f t="shared" si="174"/>
        <v>-102.46328295728389</v>
      </c>
      <c r="S398" s="346">
        <f t="shared" si="175"/>
        <v>77.536717042716106</v>
      </c>
      <c r="U398" s="319">
        <f t="shared" ref="U398:U461" si="181">IF(Q398&lt;0,A398,1000000000)</f>
        <v>1000000000</v>
      </c>
      <c r="V398" s="319">
        <f t="shared" ref="V398:V461" si="182">A398^2</f>
        <v>1273615500.0625</v>
      </c>
      <c r="X398" s="345">
        <f t="shared" si="176"/>
        <v>37.269882914235062</v>
      </c>
      <c r="Y398" s="346">
        <f t="shared" si="177"/>
        <v>-13.847450884649108</v>
      </c>
      <c r="AA398" s="345">
        <f t="shared" si="178"/>
        <v>24.132499884849501</v>
      </c>
      <c r="AB398" s="346">
        <f t="shared" si="179"/>
        <v>-88.615832072634788</v>
      </c>
      <c r="AD398">
        <f t="shared" ref="AD398:AD461" si="183">SUM((Q399&lt;0)*(Q398&gt;0))*A398</f>
        <v>0</v>
      </c>
      <c r="AE398">
        <f t="shared" si="160"/>
        <v>0</v>
      </c>
    </row>
    <row r="399" spans="1:31" x14ac:dyDescent="0.2">
      <c r="A399" s="347">
        <v>35894.5</v>
      </c>
      <c r="B399" s="364">
        <f t="shared" si="180"/>
        <v>35.894500000000001</v>
      </c>
      <c r="C399" s="337">
        <f t="shared" si="161"/>
        <v>71.244016807849135</v>
      </c>
      <c r="D399" s="338">
        <f t="shared" si="162"/>
        <v>1.5567595994478438</v>
      </c>
      <c r="E399" s="338">
        <f t="shared" si="163"/>
        <v>1.0014638288073854</v>
      </c>
      <c r="F399" s="339">
        <f t="shared" si="164"/>
        <v>5.4074862418012078E-2</v>
      </c>
      <c r="G399" s="338">
        <f t="shared" si="165"/>
        <v>1</v>
      </c>
      <c r="H399" s="339">
        <f t="shared" si="166"/>
        <v>0</v>
      </c>
      <c r="I399" s="337">
        <f t="shared" si="167"/>
        <v>6790.3988563283347</v>
      </c>
      <c r="J399" s="340">
        <f t="shared" si="168"/>
        <v>1.5706490600400604</v>
      </c>
      <c r="K399" s="348">
        <f t="shared" si="158"/>
        <v>6.4800217659970842</v>
      </c>
      <c r="L399" s="349">
        <f t="shared" si="159"/>
        <v>1.4158566800484786</v>
      </c>
      <c r="M399" s="337">
        <f t="shared" si="169"/>
        <v>1.0037532322570706</v>
      </c>
      <c r="N399" s="340">
        <f t="shared" si="170"/>
        <v>8.6504690871350112E-2</v>
      </c>
      <c r="O399" s="341">
        <f t="shared" si="171"/>
        <v>0.99967812247705545</v>
      </c>
      <c r="P399" s="342">
        <f t="shared" si="172"/>
        <v>4.397737267793058E-2</v>
      </c>
      <c r="Q399" s="343">
        <f t="shared" si="173"/>
        <v>4.5527746531570186</v>
      </c>
      <c r="R399" s="344">
        <f t="shared" si="174"/>
        <v>-102.44251510542747</v>
      </c>
      <c r="S399" s="346">
        <f t="shared" si="175"/>
        <v>77.557484894572525</v>
      </c>
      <c r="U399" s="319">
        <f t="shared" si="181"/>
        <v>1000000000</v>
      </c>
      <c r="V399" s="319">
        <f t="shared" si="182"/>
        <v>1288415130.25</v>
      </c>
      <c r="X399" s="345">
        <f t="shared" si="176"/>
        <v>37.268308862848343</v>
      </c>
      <c r="Y399" s="346">
        <f t="shared" si="177"/>
        <v>-13.825303785112855</v>
      </c>
      <c r="AA399" s="345">
        <f t="shared" si="178"/>
        <v>24.082512803225434</v>
      </c>
      <c r="AB399" s="346">
        <f t="shared" si="179"/>
        <v>-88.617211320314624</v>
      </c>
      <c r="AD399">
        <f t="shared" si="183"/>
        <v>0</v>
      </c>
      <c r="AE399">
        <f t="shared" si="160"/>
        <v>0</v>
      </c>
    </row>
    <row r="400" spans="1:31" x14ac:dyDescent="0.2">
      <c r="A400" s="347">
        <v>36101.25</v>
      </c>
      <c r="B400" s="364">
        <f t="shared" si="180"/>
        <v>36.10125</v>
      </c>
      <c r="C400" s="337">
        <f t="shared" si="161"/>
        <v>71.654297123360209</v>
      </c>
      <c r="D400" s="338">
        <f t="shared" si="162"/>
        <v>1.5568399765944165</v>
      </c>
      <c r="E400" s="338">
        <f t="shared" si="163"/>
        <v>1.0014807279888625</v>
      </c>
      <c r="F400" s="339">
        <f t="shared" si="164"/>
        <v>5.4385718071701832E-2</v>
      </c>
      <c r="G400" s="338">
        <f t="shared" si="165"/>
        <v>1</v>
      </c>
      <c r="H400" s="339">
        <f t="shared" si="166"/>
        <v>0</v>
      </c>
      <c r="I400" s="337">
        <f t="shared" si="167"/>
        <v>6829.511114005295</v>
      </c>
      <c r="J400" s="340">
        <f t="shared" si="168"/>
        <v>1.570649903429171</v>
      </c>
      <c r="K400" s="348">
        <f t="shared" si="158"/>
        <v>6.5164598816081769</v>
      </c>
      <c r="L400" s="349">
        <f t="shared" si="159"/>
        <v>1.416729997316132</v>
      </c>
      <c r="M400" s="337">
        <f t="shared" si="169"/>
        <v>1.003796511526706</v>
      </c>
      <c r="N400" s="340">
        <f t="shared" si="170"/>
        <v>8.7000448980953812E-2</v>
      </c>
      <c r="O400" s="341">
        <f t="shared" si="171"/>
        <v>0.99967441290817693</v>
      </c>
      <c r="P400" s="342">
        <f t="shared" si="172"/>
        <v>4.4231008582080539E-2</v>
      </c>
      <c r="Q400" s="343">
        <f t="shared" si="173"/>
        <v>4.5015206889116612</v>
      </c>
      <c r="R400" s="344">
        <f t="shared" si="174"/>
        <v>-102.4222577028826</v>
      </c>
      <c r="S400" s="346">
        <f t="shared" si="175"/>
        <v>77.577742297117396</v>
      </c>
      <c r="U400" s="319">
        <f t="shared" si="181"/>
        <v>1000000000</v>
      </c>
      <c r="V400" s="319">
        <f t="shared" si="182"/>
        <v>1303300251.5625</v>
      </c>
      <c r="X400" s="345">
        <f t="shared" si="176"/>
        <v>37.266752954909578</v>
      </c>
      <c r="Y400" s="346">
        <f t="shared" si="177"/>
        <v>-13.803719561451953</v>
      </c>
      <c r="AA400" s="345">
        <f t="shared" si="178"/>
        <v>24.032814746918838</v>
      </c>
      <c r="AB400" s="346">
        <f t="shared" si="179"/>
        <v>-88.618538141430619</v>
      </c>
      <c r="AD400">
        <f t="shared" si="183"/>
        <v>0</v>
      </c>
      <c r="AE400">
        <f t="shared" si="160"/>
        <v>0</v>
      </c>
    </row>
    <row r="401" spans="1:31" x14ac:dyDescent="0.2">
      <c r="A401" s="347">
        <v>36308</v>
      </c>
      <c r="B401" s="364">
        <f t="shared" si="180"/>
        <v>36.308</v>
      </c>
      <c r="C401" s="337">
        <f t="shared" si="161"/>
        <v>72.064577896521783</v>
      </c>
      <c r="D401" s="338">
        <f t="shared" si="162"/>
        <v>1.5569194385290923</v>
      </c>
      <c r="E401" s="338">
        <f t="shared" si="163"/>
        <v>1.0014977239413902</v>
      </c>
      <c r="F401" s="339">
        <f t="shared" si="164"/>
        <v>5.469656320465438E-2</v>
      </c>
      <c r="G401" s="338">
        <f t="shared" si="165"/>
        <v>1</v>
      </c>
      <c r="H401" s="339">
        <f t="shared" si="166"/>
        <v>0</v>
      </c>
      <c r="I401" s="337">
        <f t="shared" si="167"/>
        <v>6868.6233716870584</v>
      </c>
      <c r="J401" s="340">
        <f t="shared" si="168"/>
        <v>1.5706507372131975</v>
      </c>
      <c r="K401" s="348">
        <f t="shared" si="158"/>
        <v>6.5529029119382107</v>
      </c>
      <c r="L401" s="349">
        <f t="shared" si="159"/>
        <v>1.4175936015787243</v>
      </c>
      <c r="M401" s="337">
        <f t="shared" si="169"/>
        <v>1.003840037484228</v>
      </c>
      <c r="N401" s="340">
        <f t="shared" si="170"/>
        <v>8.7496164220780215E-2</v>
      </c>
      <c r="O401" s="341">
        <f t="shared" si="171"/>
        <v>0.99967068224344924</v>
      </c>
      <c r="P401" s="342">
        <f t="shared" si="172"/>
        <v>4.448465015533383E-2</v>
      </c>
      <c r="Q401" s="343">
        <f t="shared" si="173"/>
        <v>4.4505701551495864</v>
      </c>
      <c r="R401" s="344">
        <f t="shared" si="174"/>
        <v>-102.40250229777705</v>
      </c>
      <c r="S401" s="346">
        <f t="shared" si="175"/>
        <v>77.597497702222952</v>
      </c>
      <c r="U401" s="319">
        <f t="shared" si="181"/>
        <v>1000000000</v>
      </c>
      <c r="V401" s="319">
        <f t="shared" si="182"/>
        <v>1318270864</v>
      </c>
      <c r="X401" s="345">
        <f t="shared" si="176"/>
        <v>37.265214739715546</v>
      </c>
      <c r="Y401" s="346">
        <f t="shared" si="177"/>
        <v>-13.782688845399989</v>
      </c>
      <c r="AA401" s="345">
        <f t="shared" si="178"/>
        <v>23.9834024283508</v>
      </c>
      <c r="AB401" s="346">
        <f t="shared" si="179"/>
        <v>-88.619813452377059</v>
      </c>
      <c r="AD401">
        <f t="shared" si="183"/>
        <v>0</v>
      </c>
      <c r="AE401">
        <f t="shared" si="160"/>
        <v>0</v>
      </c>
    </row>
    <row r="402" spans="1:31" x14ac:dyDescent="0.2">
      <c r="A402" s="347">
        <v>36519.5</v>
      </c>
      <c r="B402" s="364">
        <f t="shared" si="180"/>
        <v>36.519500000000001</v>
      </c>
      <c r="C402" s="337">
        <f t="shared" si="161"/>
        <v>72.484285174651944</v>
      </c>
      <c r="D402" s="338">
        <f t="shared" si="162"/>
        <v>1.5569997952799359</v>
      </c>
      <c r="E402" s="338">
        <f t="shared" si="163"/>
        <v>1.0015152104956166</v>
      </c>
      <c r="F402" s="339">
        <f t="shared" si="164"/>
        <v>5.5014538934227475E-2</v>
      </c>
      <c r="G402" s="338">
        <f t="shared" si="165"/>
        <v>1</v>
      </c>
      <c r="H402" s="339">
        <f t="shared" si="166"/>
        <v>0</v>
      </c>
      <c r="I402" s="337">
        <f t="shared" si="167"/>
        <v>6908.6342181233476</v>
      </c>
      <c r="J402" s="340">
        <f t="shared" si="168"/>
        <v>1.5706515803845471</v>
      </c>
      <c r="K402" s="348">
        <f t="shared" si="158"/>
        <v>6.5901882069440054</v>
      </c>
      <c r="L402" s="349">
        <f t="shared" si="159"/>
        <v>1.4184671631891279</v>
      </c>
      <c r="M402" s="337">
        <f t="shared" si="169"/>
        <v>1.0038848186543896</v>
      </c>
      <c r="N402" s="340">
        <f t="shared" si="170"/>
        <v>8.8003223716779239E-2</v>
      </c>
      <c r="O402" s="341">
        <f t="shared" si="171"/>
        <v>0.99966684404350425</v>
      </c>
      <c r="P402" s="342">
        <f t="shared" si="172"/>
        <v>4.4744124943843597E-2</v>
      </c>
      <c r="Q402" s="343">
        <f t="shared" si="173"/>
        <v>4.3987591942589495</v>
      </c>
      <c r="R402" s="344">
        <f t="shared" si="174"/>
        <v>-102.3828038292345</v>
      </c>
      <c r="S402" s="346">
        <f t="shared" si="175"/>
        <v>77.617196170765496</v>
      </c>
      <c r="U402" s="319">
        <f t="shared" si="181"/>
        <v>1000000000</v>
      </c>
      <c r="V402" s="319">
        <f t="shared" si="182"/>
        <v>1333673880.25</v>
      </c>
      <c r="X402" s="345">
        <f t="shared" si="176"/>
        <v>37.263659034897351</v>
      </c>
      <c r="Y402" s="346">
        <f t="shared" si="177"/>
        <v>-13.761738131197786</v>
      </c>
      <c r="AA402" s="345">
        <f t="shared" si="178"/>
        <v>23.93314717227836</v>
      </c>
      <c r="AB402" s="346">
        <f t="shared" si="179"/>
        <v>-88.62106569803673</v>
      </c>
      <c r="AD402">
        <f t="shared" si="183"/>
        <v>0</v>
      </c>
      <c r="AE402">
        <f t="shared" si="160"/>
        <v>0</v>
      </c>
    </row>
    <row r="403" spans="1:31" x14ac:dyDescent="0.2">
      <c r="A403" s="347">
        <v>36731</v>
      </c>
      <c r="B403" s="364">
        <f t="shared" si="180"/>
        <v>36.731000000000002</v>
      </c>
      <c r="C403" s="337">
        <f t="shared" si="161"/>
        <v>72.903992915439105</v>
      </c>
      <c r="D403" s="338">
        <f t="shared" si="162"/>
        <v>1.557079226804863</v>
      </c>
      <c r="E403" s="338">
        <f t="shared" si="163"/>
        <v>1.0015327983080662</v>
      </c>
      <c r="F403" s="339">
        <f t="shared" si="164"/>
        <v>5.5332503528071696E-2</v>
      </c>
      <c r="G403" s="338">
        <f t="shared" si="165"/>
        <v>1</v>
      </c>
      <c r="H403" s="339">
        <f t="shared" si="166"/>
        <v>0</v>
      </c>
      <c r="I403" s="337">
        <f t="shared" si="167"/>
        <v>6948.6450645644918</v>
      </c>
      <c r="J403" s="340">
        <f t="shared" si="168"/>
        <v>1.5706524138458022</v>
      </c>
      <c r="K403" s="348">
        <f t="shared" si="158"/>
        <v>6.6274784743999859</v>
      </c>
      <c r="L403" s="349">
        <f t="shared" si="159"/>
        <v>1.4193308950633829</v>
      </c>
      <c r="M403" s="337">
        <f t="shared" si="169"/>
        <v>1.0039298579096416</v>
      </c>
      <c r="N403" s="340">
        <f t="shared" si="170"/>
        <v>8.8510237846756726E-2</v>
      </c>
      <c r="O403" s="341">
        <f t="shared" si="171"/>
        <v>0.99966298377489082</v>
      </c>
      <c r="P403" s="342">
        <f t="shared" si="172"/>
        <v>4.5003605733609772E-2</v>
      </c>
      <c r="Q403" s="343">
        <f t="shared" si="173"/>
        <v>4.3472580697979026</v>
      </c>
      <c r="R403" s="344">
        <f t="shared" si="174"/>
        <v>-102.36361337779546</v>
      </c>
      <c r="S403" s="346">
        <f t="shared" si="175"/>
        <v>77.63638662220454</v>
      </c>
      <c r="U403" s="319">
        <f t="shared" si="181"/>
        <v>1000000000</v>
      </c>
      <c r="V403" s="319">
        <f t="shared" si="182"/>
        <v>1349166361</v>
      </c>
      <c r="X403" s="345">
        <f t="shared" si="176"/>
        <v>37.262120930425773</v>
      </c>
      <c r="Y403" s="346">
        <f t="shared" si="177"/>
        <v>-13.741347463762272</v>
      </c>
      <c r="AA403" s="345">
        <f t="shared" si="178"/>
        <v>23.883184152288884</v>
      </c>
      <c r="AB403" s="346">
        <f t="shared" si="179"/>
        <v>-88.622265914033179</v>
      </c>
      <c r="AD403">
        <f t="shared" si="183"/>
        <v>0</v>
      </c>
      <c r="AE403">
        <f t="shared" si="160"/>
        <v>0</v>
      </c>
    </row>
    <row r="404" spans="1:31" x14ac:dyDescent="0.2">
      <c r="A404" s="347">
        <v>36942.5</v>
      </c>
      <c r="B404" s="364">
        <f t="shared" si="180"/>
        <v>36.942500000000003</v>
      </c>
      <c r="C404" s="337">
        <f t="shared" si="161"/>
        <v>73.323701110938458</v>
      </c>
      <c r="D404" s="338">
        <f t="shared" si="162"/>
        <v>1.557157748990968</v>
      </c>
      <c r="E404" s="338">
        <f t="shared" si="163"/>
        <v>1.0015504873734049</v>
      </c>
      <c r="F404" s="339">
        <f t="shared" si="164"/>
        <v>5.5650456922481994E-2</v>
      </c>
      <c r="G404" s="338">
        <f t="shared" si="165"/>
        <v>1</v>
      </c>
      <c r="H404" s="339">
        <f t="shared" si="166"/>
        <v>0</v>
      </c>
      <c r="I404" s="337">
        <f t="shared" si="167"/>
        <v>6988.6559110104072</v>
      </c>
      <c r="J404" s="340">
        <f t="shared" si="168"/>
        <v>1.5706532377637372</v>
      </c>
      <c r="K404" s="348">
        <f t="shared" si="158"/>
        <v>6.6647736308416548</v>
      </c>
      <c r="L404" s="349">
        <f t="shared" si="159"/>
        <v>1.4201849609193609</v>
      </c>
      <c r="M404" s="337">
        <f t="shared" si="169"/>
        <v>1.0039751552152505</v>
      </c>
      <c r="N404" s="340">
        <f t="shared" si="170"/>
        <v>8.9017206356166334E-2</v>
      </c>
      <c r="O404" s="341">
        <f t="shared" si="171"/>
        <v>0.99965910144151293</v>
      </c>
      <c r="P404" s="342">
        <f t="shared" si="172"/>
        <v>4.5263092559356427E-2</v>
      </c>
      <c r="Q404" s="343">
        <f t="shared" si="173"/>
        <v>4.2960629966000727</v>
      </c>
      <c r="R404" s="344">
        <f t="shared" si="174"/>
        <v>-102.34492247399081</v>
      </c>
      <c r="S404" s="346">
        <f t="shared" si="175"/>
        <v>77.655077526009194</v>
      </c>
      <c r="U404" s="319">
        <f t="shared" si="181"/>
        <v>1000000000</v>
      </c>
      <c r="V404" s="319">
        <f t="shared" si="182"/>
        <v>1364748306.25</v>
      </c>
      <c r="X404" s="345">
        <f t="shared" si="176"/>
        <v>37.260599982917107</v>
      </c>
      <c r="Y404" s="346">
        <f t="shared" si="177"/>
        <v>-13.721507457721378</v>
      </c>
      <c r="AA404" s="345">
        <f t="shared" si="178"/>
        <v>23.833510026599726</v>
      </c>
      <c r="AB404" s="346">
        <f t="shared" si="179"/>
        <v>-88.623415016269405</v>
      </c>
      <c r="AD404">
        <f t="shared" si="183"/>
        <v>0</v>
      </c>
      <c r="AE404">
        <f t="shared" si="160"/>
        <v>0</v>
      </c>
    </row>
    <row r="405" spans="1:31" x14ac:dyDescent="0.2">
      <c r="A405" s="347">
        <v>37154</v>
      </c>
      <c r="B405" s="364">
        <f t="shared" si="180"/>
        <v>37.154000000000003</v>
      </c>
      <c r="C405" s="337">
        <f t="shared" si="161"/>
        <v>73.743409753386061</v>
      </c>
      <c r="D405" s="338">
        <f t="shared" si="162"/>
        <v>1.5572353773637067</v>
      </c>
      <c r="E405" s="338">
        <f t="shared" si="163"/>
        <v>1.0015682776862675</v>
      </c>
      <c r="F405" s="339">
        <f t="shared" si="164"/>
        <v>5.5968399053766896E-2</v>
      </c>
      <c r="G405" s="338">
        <f t="shared" si="165"/>
        <v>1</v>
      </c>
      <c r="H405" s="339">
        <f t="shared" si="166"/>
        <v>0</v>
      </c>
      <c r="I405" s="337">
        <f t="shared" si="167"/>
        <v>7028.6667574610128</v>
      </c>
      <c r="J405" s="340">
        <f t="shared" si="168"/>
        <v>1.570654052301329</v>
      </c>
      <c r="K405" s="348">
        <f t="shared" si="158"/>
        <v>6.702073594651516</v>
      </c>
      <c r="L405" s="349">
        <f t="shared" si="159"/>
        <v>1.4210295208874131</v>
      </c>
      <c r="M405" s="337">
        <f t="shared" si="169"/>
        <v>1.0040207105362897</v>
      </c>
      <c r="N405" s="340">
        <f t="shared" si="170"/>
        <v>8.9524128990601276E-2</v>
      </c>
      <c r="O405" s="341">
        <f t="shared" si="171"/>
        <v>0.99965519704729688</v>
      </c>
      <c r="P405" s="342">
        <f t="shared" si="172"/>
        <v>4.5522585455807056E-2</v>
      </c>
      <c r="Q405" s="343">
        <f t="shared" si="173"/>
        <v>4.2451702590093197</v>
      </c>
      <c r="R405" s="344">
        <f t="shared" si="174"/>
        <v>-102.32672283297056</v>
      </c>
      <c r="S405" s="346">
        <f t="shared" si="175"/>
        <v>77.67327716702944</v>
      </c>
      <c r="U405" s="319">
        <f t="shared" si="181"/>
        <v>1000000000</v>
      </c>
      <c r="V405" s="319">
        <f t="shared" si="182"/>
        <v>1380419716</v>
      </c>
      <c r="X405" s="345">
        <f t="shared" si="176"/>
        <v>37.259095761310391</v>
      </c>
      <c r="Y405" s="346">
        <f t="shared" si="177"/>
        <v>-13.702208933043273</v>
      </c>
      <c r="AA405" s="345">
        <f t="shared" si="178"/>
        <v>23.784121510615694</v>
      </c>
      <c r="AB405" s="346">
        <f t="shared" si="179"/>
        <v>-88.62451389992728</v>
      </c>
      <c r="AD405">
        <f t="shared" si="183"/>
        <v>0</v>
      </c>
      <c r="AE405">
        <f t="shared" si="160"/>
        <v>0</v>
      </c>
    </row>
    <row r="406" spans="1:31" x14ac:dyDescent="0.2">
      <c r="A406" s="347">
        <v>37370.25</v>
      </c>
      <c r="B406" s="364">
        <f t="shared" si="180"/>
        <v>37.370249999999999</v>
      </c>
      <c r="C406" s="337">
        <f t="shared" si="161"/>
        <v>74.17254493067027</v>
      </c>
      <c r="D406" s="338">
        <f t="shared" si="162"/>
        <v>1.5573138408182421</v>
      </c>
      <c r="E406" s="338">
        <f t="shared" si="163"/>
        <v>1.0015865722234227</v>
      </c>
      <c r="F406" s="339">
        <f t="shared" si="164"/>
        <v>5.6293470017642087E-2</v>
      </c>
      <c r="G406" s="338">
        <f t="shared" si="165"/>
        <v>1</v>
      </c>
      <c r="H406" s="339">
        <f t="shared" si="166"/>
        <v>0</v>
      </c>
      <c r="I406" s="337">
        <f t="shared" si="167"/>
        <v>7069.5761926664582</v>
      </c>
      <c r="J406" s="340">
        <f t="shared" si="168"/>
        <v>1.5706548755995093</v>
      </c>
      <c r="K406" s="348">
        <f t="shared" si="158"/>
        <v>6.7402161518976156</v>
      </c>
      <c r="L406" s="349">
        <f t="shared" si="159"/>
        <v>1.4218833831438722</v>
      </c>
      <c r="M406" s="337">
        <f t="shared" si="169"/>
        <v>1.0040675557033016</v>
      </c>
      <c r="N406" s="340">
        <f t="shared" si="170"/>
        <v>9.0042388715493235E-2</v>
      </c>
      <c r="O406" s="341">
        <f t="shared" si="171"/>
        <v>0.99965118216026827</v>
      </c>
      <c r="P406" s="342">
        <f t="shared" si="172"/>
        <v>4.5787912519820818E-2</v>
      </c>
      <c r="Q406" s="343">
        <f t="shared" si="173"/>
        <v>4.193443337728862</v>
      </c>
      <c r="R406" s="344">
        <f t="shared" si="174"/>
        <v>-102.30861394728535</v>
      </c>
      <c r="S406" s="346">
        <f t="shared" si="175"/>
        <v>77.691386052714648</v>
      </c>
      <c r="U406" s="319">
        <f t="shared" si="181"/>
        <v>1000000000</v>
      </c>
      <c r="V406" s="319">
        <f t="shared" si="182"/>
        <v>1396535585.0625</v>
      </c>
      <c r="X406" s="345">
        <f t="shared" si="176"/>
        <v>37.257574613983337</v>
      </c>
      <c r="Y406" s="346">
        <f t="shared" si="177"/>
        <v>-13.683027495879669</v>
      </c>
      <c r="AA406" s="345">
        <f t="shared" si="178"/>
        <v>23.733915736662286</v>
      </c>
      <c r="AB406" s="346">
        <f t="shared" si="179"/>
        <v>-88.625586451405695</v>
      </c>
      <c r="AD406">
        <f t="shared" si="183"/>
        <v>0</v>
      </c>
      <c r="AE406">
        <f t="shared" si="160"/>
        <v>0</v>
      </c>
    </row>
    <row r="407" spans="1:31" x14ac:dyDescent="0.2">
      <c r="A407" s="347">
        <v>37586.5</v>
      </c>
      <c r="B407" s="364">
        <f t="shared" si="180"/>
        <v>37.586500000000001</v>
      </c>
      <c r="C407" s="337">
        <f t="shared" si="161"/>
        <v>74.601680559345226</v>
      </c>
      <c r="D407" s="338">
        <f t="shared" si="162"/>
        <v>1.5573914015733747</v>
      </c>
      <c r="E407" s="338">
        <f t="shared" si="163"/>
        <v>1.0016049725954916</v>
      </c>
      <c r="F407" s="339">
        <f t="shared" si="164"/>
        <v>5.6618529072181505E-2</v>
      </c>
      <c r="G407" s="338">
        <f t="shared" si="165"/>
        <v>1</v>
      </c>
      <c r="H407" s="339">
        <f t="shared" si="166"/>
        <v>0</v>
      </c>
      <c r="I407" s="337">
        <f t="shared" si="167"/>
        <v>7110.4856278766401</v>
      </c>
      <c r="J407" s="340">
        <f t="shared" si="168"/>
        <v>1.5706556894241697</v>
      </c>
      <c r="K407" s="348">
        <f t="shared" ref="K407:K470" si="184">SQRT(1+(A407/Zero2)^2)</f>
        <v>6.7783635679985048</v>
      </c>
      <c r="L407" s="349">
        <f t="shared" ref="L407:L470" si="185">ATAN(A407/Zero2)</f>
        <v>1.4227276352424076</v>
      </c>
      <c r="M407" s="337">
        <f t="shared" si="169"/>
        <v>1.0041146705307678</v>
      </c>
      <c r="N407" s="340">
        <f t="shared" si="170"/>
        <v>9.056059994424559E-2</v>
      </c>
      <c r="O407" s="341">
        <f t="shared" si="171"/>
        <v>0.99964714421873613</v>
      </c>
      <c r="P407" s="342">
        <f t="shared" si="172"/>
        <v>4.60532460036948E-2</v>
      </c>
      <c r="Q407" s="343">
        <f t="shared" si="173"/>
        <v>4.1420248436572837</v>
      </c>
      <c r="R407" s="344">
        <f t="shared" si="174"/>
        <v>-102.291001690993</v>
      </c>
      <c r="S407" s="346">
        <f t="shared" si="175"/>
        <v>77.708998309007001</v>
      </c>
      <c r="U407" s="319">
        <f t="shared" si="181"/>
        <v>1000000000</v>
      </c>
      <c r="V407" s="319">
        <f t="shared" si="182"/>
        <v>1412744982.25</v>
      </c>
      <c r="X407" s="345">
        <f t="shared" si="176"/>
        <v>37.2560700785683</v>
      </c>
      <c r="Y407" s="346">
        <f t="shared" si="177"/>
        <v>-13.664393358789328</v>
      </c>
      <c r="AA407" s="345">
        <f t="shared" si="178"/>
        <v>23.684001778005744</v>
      </c>
      <c r="AB407" s="346">
        <f t="shared" si="179"/>
        <v>-88.626608332203674</v>
      </c>
      <c r="AD407">
        <f t="shared" si="183"/>
        <v>0</v>
      </c>
      <c r="AE407">
        <f t="shared" si="160"/>
        <v>0</v>
      </c>
    </row>
    <row r="408" spans="1:31" x14ac:dyDescent="0.2">
      <c r="A408" s="347">
        <v>37802.75</v>
      </c>
      <c r="B408" s="364">
        <f t="shared" si="180"/>
        <v>37.802750000000003</v>
      </c>
      <c r="C408" s="337">
        <f t="shared" si="161"/>
        <v>75.030816631665772</v>
      </c>
      <c r="D408" s="338">
        <f t="shared" si="162"/>
        <v>1.5574680751170338</v>
      </c>
      <c r="E408" s="338">
        <f t="shared" si="163"/>
        <v>1.0016234787966412</v>
      </c>
      <c r="F408" s="339">
        <f t="shared" si="164"/>
        <v>5.6943576149349716E-2</v>
      </c>
      <c r="G408" s="338">
        <f t="shared" si="165"/>
        <v>1</v>
      </c>
      <c r="H408" s="339">
        <f t="shared" si="166"/>
        <v>0</v>
      </c>
      <c r="I408" s="337">
        <f t="shared" si="167"/>
        <v>7151.3950630914769</v>
      </c>
      <c r="J408" s="340">
        <f t="shared" si="168"/>
        <v>1.5706564939378895</v>
      </c>
      <c r="K408" s="348">
        <f t="shared" si="184"/>
        <v>6.8165157613790415</v>
      </c>
      <c r="L408" s="349">
        <f t="shared" si="185"/>
        <v>1.4235624373341178</v>
      </c>
      <c r="M408" s="337">
        <f t="shared" si="169"/>
        <v>1.0041620549807313</v>
      </c>
      <c r="N408" s="340">
        <f t="shared" si="170"/>
        <v>9.107876240538039E-2</v>
      </c>
      <c r="O408" s="341">
        <f t="shared" si="171"/>
        <v>0.99964308322697071</v>
      </c>
      <c r="P408" s="342">
        <f t="shared" si="172"/>
        <v>4.6318585944543141E-2</v>
      </c>
      <c r="Q408" s="343">
        <f t="shared" si="173"/>
        <v>4.0909110196066294</v>
      </c>
      <c r="R408" s="344">
        <f t="shared" si="174"/>
        <v>-102.27387777528962</v>
      </c>
      <c r="S408" s="346">
        <f t="shared" si="175"/>
        <v>77.72612222471038</v>
      </c>
      <c r="U408" s="319">
        <f t="shared" si="181"/>
        <v>1000000000</v>
      </c>
      <c r="V408" s="319">
        <f t="shared" si="182"/>
        <v>1429047907.5625</v>
      </c>
      <c r="X408" s="345">
        <f t="shared" si="176"/>
        <v>37.254581731670783</v>
      </c>
      <c r="Y408" s="346">
        <f t="shared" si="177"/>
        <v>-13.646297339550808</v>
      </c>
      <c r="AA408" s="345">
        <f t="shared" si="178"/>
        <v>23.634376300852608</v>
      </c>
      <c r="AB408" s="346">
        <f t="shared" si="179"/>
        <v>-88.627580435738821</v>
      </c>
      <c r="AD408">
        <f t="shared" si="183"/>
        <v>0</v>
      </c>
      <c r="AE408">
        <f t="shared" si="160"/>
        <v>0</v>
      </c>
    </row>
    <row r="409" spans="1:31" x14ac:dyDescent="0.2">
      <c r="A409" s="347">
        <v>38019</v>
      </c>
      <c r="B409" s="364">
        <f t="shared" si="180"/>
        <v>38.018999999999998</v>
      </c>
      <c r="C409" s="337">
        <f t="shared" si="161"/>
        <v>75.459953140062964</v>
      </c>
      <c r="D409" s="338">
        <f t="shared" si="162"/>
        <v>1.5575438765848757</v>
      </c>
      <c r="E409" s="338">
        <f t="shared" si="163"/>
        <v>1.0016420908210057</v>
      </c>
      <c r="F409" s="339">
        <f t="shared" si="164"/>
        <v>5.726861118112641E-2</v>
      </c>
      <c r="G409" s="338">
        <f t="shared" si="165"/>
        <v>1</v>
      </c>
      <c r="H409" s="339">
        <f t="shared" si="166"/>
        <v>0</v>
      </c>
      <c r="I409" s="337">
        <f t="shared" si="167"/>
        <v>7192.3044983108903</v>
      </c>
      <c r="J409" s="340">
        <f t="shared" si="168"/>
        <v>1.5706572892995492</v>
      </c>
      <c r="K409" s="348">
        <f t="shared" si="184"/>
        <v>6.8546726522701187</v>
      </c>
      <c r="L409" s="349">
        <f t="shared" si="185"/>
        <v>1.4243879460575009</v>
      </c>
      <c r="M409" s="337">
        <f t="shared" si="169"/>
        <v>1.004209709015025</v>
      </c>
      <c r="N409" s="340">
        <f t="shared" si="170"/>
        <v>9.1596875827575544E-2</v>
      </c>
      <c r="O409" s="341">
        <f t="shared" si="171"/>
        <v>0.99963899918926724</v>
      </c>
      <c r="P409" s="342">
        <f t="shared" si="172"/>
        <v>4.6583932379479324E-2</v>
      </c>
      <c r="Q409" s="343">
        <f t="shared" si="173"/>
        <v>4.040098177167609</v>
      </c>
      <c r="R409" s="344">
        <f t="shared" si="174"/>
        <v>-102.25723409224089</v>
      </c>
      <c r="S409" s="346">
        <f t="shared" si="175"/>
        <v>77.742765907759107</v>
      </c>
      <c r="U409" s="319">
        <f t="shared" si="181"/>
        <v>1000000000</v>
      </c>
      <c r="V409" s="319">
        <f t="shared" si="182"/>
        <v>1445444361</v>
      </c>
      <c r="X409" s="345">
        <f t="shared" si="176"/>
        <v>37.253109161668533</v>
      </c>
      <c r="Y409" s="346">
        <f t="shared" si="177"/>
        <v>-13.628730456996804</v>
      </c>
      <c r="AA409" s="345">
        <f t="shared" si="178"/>
        <v>23.585036028415836</v>
      </c>
      <c r="AB409" s="346">
        <f t="shared" si="179"/>
        <v>-88.628503635244087</v>
      </c>
      <c r="AD409">
        <f t="shared" si="183"/>
        <v>0</v>
      </c>
      <c r="AE409">
        <f t="shared" si="160"/>
        <v>0</v>
      </c>
    </row>
    <row r="410" spans="1:31" x14ac:dyDescent="0.2">
      <c r="A410" s="347">
        <v>38240.5</v>
      </c>
      <c r="B410" s="364">
        <f t="shared" si="180"/>
        <v>38.240499999999997</v>
      </c>
      <c r="C410" s="337">
        <f t="shared" si="161"/>
        <v>75.899508435793635</v>
      </c>
      <c r="D410" s="338">
        <f t="shared" si="162"/>
        <v>1.5576206296874815</v>
      </c>
      <c r="E410" s="338">
        <f t="shared" si="163"/>
        <v>1.0016612643998983</v>
      </c>
      <c r="F410" s="339">
        <f t="shared" si="164"/>
        <v>5.7601524678135452E-2</v>
      </c>
      <c r="G410" s="338">
        <f t="shared" si="165"/>
        <v>1</v>
      </c>
      <c r="H410" s="339">
        <f t="shared" si="166"/>
        <v>0</v>
      </c>
      <c r="I410" s="337">
        <f t="shared" si="167"/>
        <v>7234.2071105749765</v>
      </c>
      <c r="J410" s="340">
        <f t="shared" si="168"/>
        <v>1.5706580946447937</v>
      </c>
      <c r="K410" s="348">
        <f t="shared" si="184"/>
        <v>6.8937606838659082</v>
      </c>
      <c r="L410" s="349">
        <f t="shared" si="185"/>
        <v>1.4252240216071281</v>
      </c>
      <c r="M410" s="337">
        <f t="shared" si="169"/>
        <v>1.0042587994089702</v>
      </c>
      <c r="N410" s="340">
        <f t="shared" si="170"/>
        <v>9.2127516603319956E-2</v>
      </c>
      <c r="O410" s="341">
        <f t="shared" si="171"/>
        <v>0.99963479211405548</v>
      </c>
      <c r="P410" s="342">
        <f t="shared" si="172"/>
        <v>4.6855727522264447E-2</v>
      </c>
      <c r="Q410" s="343">
        <f t="shared" si="173"/>
        <v>3.9883599748445753</v>
      </c>
      <c r="R410" s="344">
        <f t="shared" si="174"/>
        <v>-102.24067591674152</v>
      </c>
      <c r="S410" s="346">
        <f t="shared" si="175"/>
        <v>77.759324083258477</v>
      </c>
      <c r="U410" s="319">
        <f t="shared" si="181"/>
        <v>1000000000</v>
      </c>
      <c r="V410" s="319">
        <f t="shared" si="182"/>
        <v>1462335840.25</v>
      </c>
      <c r="X410" s="345">
        <f t="shared" si="176"/>
        <v>37.25161677927187</v>
      </c>
      <c r="Y410" s="346">
        <f t="shared" si="177"/>
        <v>-13.611276476400397</v>
      </c>
      <c r="AA410" s="345">
        <f t="shared" si="178"/>
        <v>23.534790208489461</v>
      </c>
      <c r="AB410" s="346">
        <f t="shared" si="179"/>
        <v>-88.629399440341146</v>
      </c>
      <c r="AD410">
        <f t="shared" si="183"/>
        <v>0</v>
      </c>
      <c r="AE410">
        <f t="shared" ref="AE410:AE473" si="186">IF(AD410&gt;0,S410,0)</f>
        <v>0</v>
      </c>
    </row>
    <row r="411" spans="1:31" x14ac:dyDescent="0.2">
      <c r="A411" s="347">
        <v>38462</v>
      </c>
      <c r="B411" s="364">
        <f t="shared" si="180"/>
        <v>38.462000000000003</v>
      </c>
      <c r="C411" s="337">
        <f t="shared" si="161"/>
        <v>76.339064173502209</v>
      </c>
      <c r="D411" s="338">
        <f t="shared" si="162"/>
        <v>1.557696498911038</v>
      </c>
      <c r="E411" s="338">
        <f t="shared" si="163"/>
        <v>1.0016805489900504</v>
      </c>
      <c r="F411" s="339">
        <f t="shared" si="164"/>
        <v>5.7934425393380846E-2</v>
      </c>
      <c r="G411" s="338">
        <f t="shared" si="165"/>
        <v>1</v>
      </c>
      <c r="H411" s="339">
        <f t="shared" si="166"/>
        <v>0</v>
      </c>
      <c r="I411" s="337">
        <f t="shared" si="167"/>
        <v>7276.1097228436975</v>
      </c>
      <c r="J411" s="340">
        <f t="shared" si="168"/>
        <v>1.5706588907141832</v>
      </c>
      <c r="K411" s="348">
        <f t="shared" si="184"/>
        <v>6.9328534800136907</v>
      </c>
      <c r="L411" s="349">
        <f t="shared" si="185"/>
        <v>1.4260506688465093</v>
      </c>
      <c r="M411" s="337">
        <f t="shared" si="169"/>
        <v>1.0043081725540486</v>
      </c>
      <c r="N411" s="340">
        <f t="shared" si="170"/>
        <v>9.2658105354421885E-2</v>
      </c>
      <c r="O411" s="341">
        <f t="shared" si="171"/>
        <v>0.99963056086953028</v>
      </c>
      <c r="P411" s="342">
        <f t="shared" si="172"/>
        <v>4.7127529557102976E-2</v>
      </c>
      <c r="Q411" s="343">
        <f t="shared" si="173"/>
        <v>3.9369299263411883</v>
      </c>
      <c r="R411" s="344">
        <f t="shared" si="174"/>
        <v>-102.22460491605553</v>
      </c>
      <c r="S411" s="346">
        <f t="shared" si="175"/>
        <v>77.775395083944474</v>
      </c>
      <c r="U411" s="319">
        <f t="shared" si="181"/>
        <v>1000000000</v>
      </c>
      <c r="V411" s="319">
        <f t="shared" si="182"/>
        <v>1479325444</v>
      </c>
      <c r="X411" s="345">
        <f t="shared" si="176"/>
        <v>37.250140111123045</v>
      </c>
      <c r="Y411" s="346">
        <f t="shared" si="177"/>
        <v>-13.594359185929864</v>
      </c>
      <c r="AA411" s="345">
        <f t="shared" si="178"/>
        <v>23.484836828134913</v>
      </c>
      <c r="AB411" s="346">
        <f t="shared" si="179"/>
        <v>-88.630245730125694</v>
      </c>
      <c r="AD411">
        <f t="shared" si="183"/>
        <v>0</v>
      </c>
      <c r="AE411">
        <f t="shared" si="186"/>
        <v>0</v>
      </c>
    </row>
    <row r="412" spans="1:31" x14ac:dyDescent="0.2">
      <c r="A412" s="347">
        <v>38683.5</v>
      </c>
      <c r="B412" s="364">
        <f t="shared" si="180"/>
        <v>38.683500000000002</v>
      </c>
      <c r="C412" s="337">
        <f t="shared" si="161"/>
        <v>76.778620345597716</v>
      </c>
      <c r="D412" s="338">
        <f t="shared" si="162"/>
        <v>1.5577714994352372</v>
      </c>
      <c r="E412" s="338">
        <f t="shared" si="163"/>
        <v>1.0016999445850507</v>
      </c>
      <c r="F412" s="339">
        <f t="shared" si="164"/>
        <v>5.8267313253816934E-2</v>
      </c>
      <c r="G412" s="338">
        <f t="shared" si="165"/>
        <v>1</v>
      </c>
      <c r="H412" s="339">
        <f t="shared" si="166"/>
        <v>0</v>
      </c>
      <c r="I412" s="337">
        <f t="shared" si="167"/>
        <v>7318.0123351169796</v>
      </c>
      <c r="J412" s="340">
        <f t="shared" si="168"/>
        <v>1.5706596776670572</v>
      </c>
      <c r="K412" s="348">
        <f t="shared" si="184"/>
        <v>6.9719509605667529</v>
      </c>
      <c r="L412" s="349">
        <f t="shared" si="185"/>
        <v>1.4268680452532037</v>
      </c>
      <c r="M412" s="337">
        <f t="shared" si="169"/>
        <v>1.0043578284085612</v>
      </c>
      <c r="N412" s="340">
        <f t="shared" si="170"/>
        <v>9.3188641789828497E-2</v>
      </c>
      <c r="O412" s="341">
        <f t="shared" si="171"/>
        <v>0.99962630546038755</v>
      </c>
      <c r="P412" s="342">
        <f t="shared" si="172"/>
        <v>4.7399338523875581E-2</v>
      </c>
      <c r="Q412" s="343">
        <f t="shared" si="173"/>
        <v>3.8858042816104827</v>
      </c>
      <c r="R412" s="344">
        <f t="shared" si="174"/>
        <v>-102.2090129360393</v>
      </c>
      <c r="S412" s="346">
        <f t="shared" si="175"/>
        <v>77.790987063960699</v>
      </c>
      <c r="U412" s="319">
        <f t="shared" si="181"/>
        <v>1000000000</v>
      </c>
      <c r="V412" s="319">
        <f t="shared" si="182"/>
        <v>1496413172.25</v>
      </c>
      <c r="X412" s="345">
        <f t="shared" si="176"/>
        <v>37.24867875080465</v>
      </c>
      <c r="Y412" s="346">
        <f t="shared" si="177"/>
        <v>-13.577969555239044</v>
      </c>
      <c r="AA412" s="345">
        <f t="shared" si="178"/>
        <v>23.435172543722594</v>
      </c>
      <c r="AB412" s="346">
        <f t="shared" si="179"/>
        <v>-88.63104338080025</v>
      </c>
      <c r="AD412">
        <f t="shared" si="183"/>
        <v>0</v>
      </c>
      <c r="AE412">
        <f t="shared" si="186"/>
        <v>0</v>
      </c>
    </row>
    <row r="413" spans="1:31" x14ac:dyDescent="0.2">
      <c r="A413" s="347">
        <v>38905</v>
      </c>
      <c r="B413" s="364">
        <f t="shared" si="180"/>
        <v>38.905000000000001</v>
      </c>
      <c r="C413" s="337">
        <f t="shared" si="161"/>
        <v>77.21817694466209</v>
      </c>
      <c r="D413" s="338">
        <f t="shared" si="162"/>
        <v>1.5578456460941756</v>
      </c>
      <c r="E413" s="338">
        <f t="shared" si="163"/>
        <v>1.0017194511784511</v>
      </c>
      <c r="F413" s="339">
        <f t="shared" si="164"/>
        <v>5.8600188186415061E-2</v>
      </c>
      <c r="G413" s="338">
        <f t="shared" si="165"/>
        <v>1</v>
      </c>
      <c r="H413" s="339">
        <f t="shared" si="166"/>
        <v>0</v>
      </c>
      <c r="I413" s="337">
        <f t="shared" si="167"/>
        <v>7359.9149473947409</v>
      </c>
      <c r="J413" s="340">
        <f t="shared" si="168"/>
        <v>1.5706604556591262</v>
      </c>
      <c r="K413" s="348">
        <f t="shared" si="184"/>
        <v>7.0110530471566479</v>
      </c>
      <c r="L413" s="349">
        <f t="shared" si="185"/>
        <v>1.427676304841816</v>
      </c>
      <c r="M413" s="337">
        <f t="shared" si="169"/>
        <v>1.004407766930578</v>
      </c>
      <c r="N413" s="340">
        <f t="shared" si="170"/>
        <v>9.371912561866215E-2</v>
      </c>
      <c r="O413" s="341">
        <f t="shared" si="171"/>
        <v>0.99962202589135118</v>
      </c>
      <c r="P413" s="342">
        <f t="shared" si="172"/>
        <v>4.7671154462462187E-2</v>
      </c>
      <c r="Q413" s="343">
        <f t="shared" si="173"/>
        <v>3.8349793591609309</v>
      </c>
      <c r="R413" s="344">
        <f t="shared" si="174"/>
        <v>-102.1938920009617</v>
      </c>
      <c r="S413" s="346">
        <f t="shared" si="175"/>
        <v>77.806107999038304</v>
      </c>
      <c r="U413" s="319">
        <f t="shared" si="181"/>
        <v>1000000000</v>
      </c>
      <c r="V413" s="319">
        <f t="shared" si="182"/>
        <v>1513599025</v>
      </c>
      <c r="X413" s="345">
        <f t="shared" si="176"/>
        <v>37.247232303224102</v>
      </c>
      <c r="Y413" s="346">
        <f t="shared" si="177"/>
        <v>-13.562098752196608</v>
      </c>
      <c r="AA413" s="345">
        <f t="shared" si="178"/>
        <v>23.385794068853592</v>
      </c>
      <c r="AB413" s="346">
        <f t="shared" si="179"/>
        <v>-88.631793248765092</v>
      </c>
      <c r="AD413">
        <f t="shared" si="183"/>
        <v>0</v>
      </c>
      <c r="AE413">
        <f t="shared" si="186"/>
        <v>0</v>
      </c>
    </row>
    <row r="414" spans="1:31" x14ac:dyDescent="0.2">
      <c r="A414" s="347">
        <v>39131.5</v>
      </c>
      <c r="B414" s="364">
        <f t="shared" si="180"/>
        <v>39.131500000000003</v>
      </c>
      <c r="C414" s="337">
        <f t="shared" si="161"/>
        <v>77.667656248567567</v>
      </c>
      <c r="D414" s="338">
        <f t="shared" si="162"/>
        <v>1.55792059860164</v>
      </c>
      <c r="E414" s="338">
        <f t="shared" si="163"/>
        <v>1.0017395128796083</v>
      </c>
      <c r="F414" s="339">
        <f t="shared" si="164"/>
        <v>5.8940563780904696E-2</v>
      </c>
      <c r="G414" s="338">
        <f t="shared" si="165"/>
        <v>1</v>
      </c>
      <c r="H414" s="339">
        <f t="shared" si="166"/>
        <v>0</v>
      </c>
      <c r="I414" s="337">
        <f t="shared" si="167"/>
        <v>7402.7634425727174</v>
      </c>
      <c r="J414" s="340">
        <f t="shared" si="168"/>
        <v>1.570661242105132</v>
      </c>
      <c r="K414" s="348">
        <f t="shared" si="184"/>
        <v>7.051042482689132</v>
      </c>
      <c r="L414" s="349">
        <f t="shared" si="185"/>
        <v>1.4284935386688526</v>
      </c>
      <c r="M414" s="337">
        <f t="shared" si="169"/>
        <v>1.0044591249997303</v>
      </c>
      <c r="N414" s="340">
        <f t="shared" si="170"/>
        <v>9.4261529547641804E-2</v>
      </c>
      <c r="O414" s="341">
        <f t="shared" si="171"/>
        <v>0.99961762473889315</v>
      </c>
      <c r="P414" s="342">
        <f t="shared" si="172"/>
        <v>4.7949113452223094E-2</v>
      </c>
      <c r="Q414" s="343">
        <f t="shared" si="173"/>
        <v>3.7833143629731838</v>
      </c>
      <c r="R414" s="344">
        <f t="shared" si="174"/>
        <v>-102.17890872205801</v>
      </c>
      <c r="S414" s="346">
        <f t="shared" si="175"/>
        <v>77.821091277941989</v>
      </c>
      <c r="U414" s="319">
        <f t="shared" si="181"/>
        <v>1000000000</v>
      </c>
      <c r="V414" s="319">
        <f t="shared" si="182"/>
        <v>1531274292.25</v>
      </c>
      <c r="X414" s="345">
        <f t="shared" si="176"/>
        <v>37.245768225766277</v>
      </c>
      <c r="Y414" s="346">
        <f t="shared" si="177"/>
        <v>-13.546397218972938</v>
      </c>
      <c r="AA414" s="345">
        <f t="shared" si="178"/>
        <v>23.335593150123664</v>
      </c>
      <c r="AB414" s="346">
        <f t="shared" si="179"/>
        <v>-88.63251150308507</v>
      </c>
      <c r="AD414">
        <f t="shared" si="183"/>
        <v>0</v>
      </c>
      <c r="AE414">
        <f t="shared" si="186"/>
        <v>0</v>
      </c>
    </row>
    <row r="415" spans="1:31" x14ac:dyDescent="0.2">
      <c r="A415" s="347">
        <v>39358</v>
      </c>
      <c r="B415" s="364">
        <f t="shared" si="180"/>
        <v>39.357999999999997</v>
      </c>
      <c r="C415" s="337">
        <f t="shared" si="161"/>
        <v>78.11713598377932</v>
      </c>
      <c r="D415" s="338">
        <f t="shared" si="162"/>
        <v>1.5579946885680833</v>
      </c>
      <c r="E415" s="338">
        <f t="shared" si="163"/>
        <v>1.0017596906331869</v>
      </c>
      <c r="F415" s="339">
        <f t="shared" si="164"/>
        <v>5.9280925702924779E-2</v>
      </c>
      <c r="G415" s="338">
        <f t="shared" si="165"/>
        <v>1</v>
      </c>
      <c r="H415" s="339">
        <f t="shared" si="166"/>
        <v>0</v>
      </c>
      <c r="I415" s="337">
        <f t="shared" si="167"/>
        <v>7445.6119377552195</v>
      </c>
      <c r="J415" s="340">
        <f t="shared" si="168"/>
        <v>1.5706620194993557</v>
      </c>
      <c r="K415" s="348">
        <f t="shared" si="184"/>
        <v>7.09103657429318</v>
      </c>
      <c r="L415" s="349">
        <f t="shared" si="185"/>
        <v>1.4293015544841636</v>
      </c>
      <c r="M415" s="337">
        <f t="shared" si="169"/>
        <v>1.0045107785525198</v>
      </c>
      <c r="N415" s="340">
        <f t="shared" si="170"/>
        <v>9.4803877853610594E-2</v>
      </c>
      <c r="O415" s="341">
        <f t="shared" si="171"/>
        <v>0.99961319833356721</v>
      </c>
      <c r="P415" s="342">
        <f t="shared" si="172"/>
        <v>4.8227079816445591E-2</v>
      </c>
      <c r="Q415" s="343">
        <f t="shared" si="173"/>
        <v>3.7319562451401289</v>
      </c>
      <c r="R415" s="344">
        <f t="shared" si="174"/>
        <v>-102.16440167666968</v>
      </c>
      <c r="S415" s="346">
        <f t="shared" si="175"/>
        <v>77.835598323330316</v>
      </c>
      <c r="U415" s="319">
        <f t="shared" si="181"/>
        <v>1000000000</v>
      </c>
      <c r="V415" s="319">
        <f t="shared" si="182"/>
        <v>1549052164</v>
      </c>
      <c r="X415" s="345">
        <f t="shared" si="176"/>
        <v>37.244318940967105</v>
      </c>
      <c r="Y415" s="346">
        <f t="shared" si="177"/>
        <v>-13.531220133324569</v>
      </c>
      <c r="AA415" s="345">
        <f t="shared" si="178"/>
        <v>23.285684317089785</v>
      </c>
      <c r="AB415" s="346">
        <f t="shared" si="179"/>
        <v>-88.633181543345131</v>
      </c>
      <c r="AD415">
        <f t="shared" si="183"/>
        <v>0</v>
      </c>
      <c r="AE415">
        <f t="shared" si="186"/>
        <v>0</v>
      </c>
    </row>
    <row r="416" spans="1:31" x14ac:dyDescent="0.2">
      <c r="A416" s="347">
        <v>39584.5</v>
      </c>
      <c r="B416" s="364">
        <f t="shared" si="180"/>
        <v>39.584499999999998</v>
      </c>
      <c r="C416" s="337">
        <f t="shared" si="161"/>
        <v>78.566616142894802</v>
      </c>
      <c r="D416" s="338">
        <f t="shared" si="162"/>
        <v>1.5580679307964951</v>
      </c>
      <c r="E416" s="338">
        <f t="shared" si="163"/>
        <v>1.0017799844321742</v>
      </c>
      <c r="F416" s="339">
        <f t="shared" si="164"/>
        <v>5.9621273874444596E-2</v>
      </c>
      <c r="G416" s="338">
        <f t="shared" si="165"/>
        <v>1</v>
      </c>
      <c r="H416" s="339">
        <f t="shared" si="166"/>
        <v>0</v>
      </c>
      <c r="I416" s="337">
        <f t="shared" si="167"/>
        <v>7488.46043294217</v>
      </c>
      <c r="J416" s="340">
        <f t="shared" si="168"/>
        <v>1.5706627879971788</v>
      </c>
      <c r="K416" s="348">
        <f t="shared" si="184"/>
        <v>7.1310352436286868</v>
      </c>
      <c r="L416" s="349">
        <f t="shared" si="185"/>
        <v>1.4301005063378518</v>
      </c>
      <c r="M416" s="337">
        <f t="shared" si="169"/>
        <v>1.004562727543366</v>
      </c>
      <c r="N416" s="340">
        <f t="shared" si="170"/>
        <v>9.5346170226118979E-2</v>
      </c>
      <c r="O416" s="341">
        <f t="shared" si="171"/>
        <v>0.99960874668051225</v>
      </c>
      <c r="P416" s="342">
        <f t="shared" si="172"/>
        <v>4.8505053597769361E-2</v>
      </c>
      <c r="Q416" s="343">
        <f t="shared" si="173"/>
        <v>3.6809012808504842</v>
      </c>
      <c r="R416" s="344">
        <f t="shared" si="174"/>
        <v>-102.15036288455406</v>
      </c>
      <c r="S416" s="346">
        <f t="shared" si="175"/>
        <v>77.849637115445944</v>
      </c>
      <c r="U416" s="319">
        <f t="shared" si="181"/>
        <v>1000000000</v>
      </c>
      <c r="V416" s="319">
        <f t="shared" si="182"/>
        <v>1566932640.25</v>
      </c>
      <c r="X416" s="345">
        <f t="shared" si="176"/>
        <v>37.242884060718225</v>
      </c>
      <c r="Y416" s="346">
        <f t="shared" si="177"/>
        <v>-13.516558659946021</v>
      </c>
      <c r="AA416" s="345">
        <f t="shared" si="178"/>
        <v>23.236064233049021</v>
      </c>
      <c r="AB416" s="346">
        <f t="shared" si="179"/>
        <v>-88.633804224608028</v>
      </c>
      <c r="AD416">
        <f t="shared" si="183"/>
        <v>0</v>
      </c>
      <c r="AE416">
        <f t="shared" si="186"/>
        <v>0</v>
      </c>
    </row>
    <row r="417" spans="1:31" x14ac:dyDescent="0.2">
      <c r="A417" s="347">
        <v>39811</v>
      </c>
      <c r="B417" s="364">
        <f t="shared" si="180"/>
        <v>39.811</v>
      </c>
      <c r="C417" s="337">
        <f t="shared" si="161"/>
        <v>79.016096718679961</v>
      </c>
      <c r="D417" s="338">
        <f t="shared" si="162"/>
        <v>1.5581403397530758</v>
      </c>
      <c r="E417" s="338">
        <f t="shared" si="163"/>
        <v>1.0018003942695177</v>
      </c>
      <c r="F417" s="339">
        <f t="shared" si="164"/>
        <v>5.9961608217452445E-2</v>
      </c>
      <c r="G417" s="338">
        <f t="shared" si="165"/>
        <v>1</v>
      </c>
      <c r="H417" s="339">
        <f t="shared" si="166"/>
        <v>0</v>
      </c>
      <c r="I417" s="337">
        <f t="shared" si="167"/>
        <v>7531.3089281334924</v>
      </c>
      <c r="J417" s="340">
        <f t="shared" si="168"/>
        <v>1.5706635477504463</v>
      </c>
      <c r="K417" s="348">
        <f t="shared" si="184"/>
        <v>7.1710384140945438</v>
      </c>
      <c r="L417" s="349">
        <f t="shared" si="185"/>
        <v>1.4308905448894642</v>
      </c>
      <c r="M417" s="337">
        <f t="shared" si="169"/>
        <v>1.0046149719264377</v>
      </c>
      <c r="N417" s="340">
        <f t="shared" si="170"/>
        <v>9.5888406354913053E-2</v>
      </c>
      <c r="O417" s="341">
        <f t="shared" si="171"/>
        <v>0.99960426978489714</v>
      </c>
      <c r="P417" s="342">
        <f t="shared" si="172"/>
        <v>4.8783034838833346E-2</v>
      </c>
      <c r="Q417" s="343">
        <f t="shared" si="173"/>
        <v>3.6301458131867519</v>
      </c>
      <c r="R417" s="344">
        <f t="shared" si="174"/>
        <v>-102.13678454024371</v>
      </c>
      <c r="S417" s="346">
        <f t="shared" si="175"/>
        <v>77.86321545975629</v>
      </c>
      <c r="U417" s="319">
        <f t="shared" si="181"/>
        <v>1000000000</v>
      </c>
      <c r="V417" s="319">
        <f t="shared" si="182"/>
        <v>1584915721</v>
      </c>
      <c r="X417" s="345">
        <f t="shared" si="176"/>
        <v>37.241463207731499</v>
      </c>
      <c r="Y417" s="346">
        <f t="shared" si="177"/>
        <v>-13.502404157604936</v>
      </c>
      <c r="AA417" s="345">
        <f t="shared" si="178"/>
        <v>23.186729618372013</v>
      </c>
      <c r="AB417" s="346">
        <f t="shared" si="179"/>
        <v>-88.634380382638781</v>
      </c>
      <c r="AD417">
        <f t="shared" si="183"/>
        <v>0</v>
      </c>
      <c r="AE417">
        <f t="shared" si="186"/>
        <v>0</v>
      </c>
    </row>
    <row r="418" spans="1:31" x14ac:dyDescent="0.2">
      <c r="A418" s="347">
        <v>40042.75</v>
      </c>
      <c r="B418" s="364">
        <f t="shared" si="180"/>
        <v>40.042749999999998</v>
      </c>
      <c r="C418" s="337">
        <f t="shared" si="161"/>
        <v>79.475996142301909</v>
      </c>
      <c r="D418" s="338">
        <f t="shared" si="162"/>
        <v>1.5582135793413663</v>
      </c>
      <c r="E418" s="338">
        <f t="shared" si="163"/>
        <v>1.0018213972791379</v>
      </c>
      <c r="F418" s="339">
        <f t="shared" si="164"/>
        <v>6.0309816710466591E-2</v>
      </c>
      <c r="G418" s="338">
        <f t="shared" si="165"/>
        <v>1</v>
      </c>
      <c r="H418" s="339">
        <f t="shared" si="166"/>
        <v>0</v>
      </c>
      <c r="I418" s="337">
        <f t="shared" si="167"/>
        <v>7575.1506003701206</v>
      </c>
      <c r="J418" s="340">
        <f t="shared" si="168"/>
        <v>1.5706643162177267</v>
      </c>
      <c r="K418" s="348">
        <f t="shared" si="184"/>
        <v>7.2119733910781125</v>
      </c>
      <c r="L418" s="349">
        <f t="shared" si="185"/>
        <v>1.4316898236800522</v>
      </c>
      <c r="M418" s="337">
        <f t="shared" si="169"/>
        <v>1.0046687329657993</v>
      </c>
      <c r="N418" s="340">
        <f t="shared" si="170"/>
        <v>9.6443152333082996E-2</v>
      </c>
      <c r="O418" s="341">
        <f t="shared" si="171"/>
        <v>0.9995996629986208</v>
      </c>
      <c r="P418" s="342">
        <f t="shared" si="172"/>
        <v>4.9067467119275746E-2</v>
      </c>
      <c r="Q418" s="343">
        <f t="shared" si="173"/>
        <v>3.5785201395236048</v>
      </c>
      <c r="R418" s="344">
        <f t="shared" si="174"/>
        <v>-102.12336008354484</v>
      </c>
      <c r="S418" s="346">
        <f t="shared" si="175"/>
        <v>77.876639916455161</v>
      </c>
      <c r="U418" s="319">
        <f t="shared" si="181"/>
        <v>1000000000</v>
      </c>
      <c r="V418" s="319">
        <f t="shared" si="182"/>
        <v>1603421827.5625</v>
      </c>
      <c r="X418" s="345">
        <f t="shared" si="176"/>
        <v>37.240023557249273</v>
      </c>
      <c r="Y418" s="346">
        <f t="shared" si="177"/>
        <v>-13.488437489416834</v>
      </c>
      <c r="AA418" s="345">
        <f t="shared" si="178"/>
        <v>23.136543595191092</v>
      </c>
      <c r="AB418" s="346">
        <f t="shared" si="179"/>
        <v>-88.634922594128028</v>
      </c>
      <c r="AD418">
        <f t="shared" si="183"/>
        <v>0</v>
      </c>
      <c r="AE418">
        <f t="shared" si="186"/>
        <v>0</v>
      </c>
    </row>
    <row r="419" spans="1:31" x14ac:dyDescent="0.2">
      <c r="A419" s="347">
        <v>40274.5</v>
      </c>
      <c r="B419" s="364">
        <f t="shared" si="180"/>
        <v>40.274500000000003</v>
      </c>
      <c r="C419" s="337">
        <f t="shared" si="161"/>
        <v>79.935895987330611</v>
      </c>
      <c r="D419" s="338">
        <f t="shared" si="162"/>
        <v>1.5582859761828654</v>
      </c>
      <c r="E419" s="338">
        <f t="shared" si="163"/>
        <v>1.0018425217536535</v>
      </c>
      <c r="F419" s="339">
        <f t="shared" si="164"/>
        <v>6.0658010561310892E-2</v>
      </c>
      <c r="G419" s="338">
        <f t="shared" si="165"/>
        <v>1</v>
      </c>
      <c r="H419" s="339">
        <f t="shared" si="166"/>
        <v>0</v>
      </c>
      <c r="I419" s="337">
        <f t="shared" si="167"/>
        <v>7618.9922726111718</v>
      </c>
      <c r="J419" s="340">
        <f t="shared" si="168"/>
        <v>1.5706650758410841</v>
      </c>
      <c r="K419" s="348">
        <f t="shared" si="184"/>
        <v>7.2529129233974334</v>
      </c>
      <c r="L419" s="349">
        <f t="shared" si="185"/>
        <v>1.4324800798099289</v>
      </c>
      <c r="M419" s="337">
        <f t="shared" si="169"/>
        <v>1.0047228031518887</v>
      </c>
      <c r="N419" s="340">
        <f t="shared" si="170"/>
        <v>9.6997838773493272E-2</v>
      </c>
      <c r="O419" s="341">
        <f t="shared" si="171"/>
        <v>0.99959502979708059</v>
      </c>
      <c r="P419" s="342">
        <f t="shared" si="172"/>
        <v>4.935190729959095E-2</v>
      </c>
      <c r="Q419" s="343">
        <f t="shared" si="173"/>
        <v>3.5272004723792434</v>
      </c>
      <c r="R419" s="344">
        <f t="shared" si="174"/>
        <v>-102.11040167497302</v>
      </c>
      <c r="S419" s="346">
        <f t="shared" si="175"/>
        <v>77.889598325026981</v>
      </c>
      <c r="U419" s="319">
        <f t="shared" si="181"/>
        <v>1000000000</v>
      </c>
      <c r="V419" s="319">
        <f t="shared" si="182"/>
        <v>1622035350.25</v>
      </c>
      <c r="X419" s="345">
        <f t="shared" si="176"/>
        <v>37.238597825879673</v>
      </c>
      <c r="Y419" s="346">
        <f t="shared" si="177"/>
        <v>-13.474983863626218</v>
      </c>
      <c r="AA419" s="345">
        <f t="shared" si="178"/>
        <v>23.086649659416331</v>
      </c>
      <c r="AB419" s="346">
        <f t="shared" si="179"/>
        <v>-88.635417811346784</v>
      </c>
      <c r="AD419">
        <f t="shared" si="183"/>
        <v>0</v>
      </c>
      <c r="AE419">
        <f t="shared" si="186"/>
        <v>0</v>
      </c>
    </row>
    <row r="420" spans="1:31" x14ac:dyDescent="0.2">
      <c r="A420" s="347">
        <v>40506.25</v>
      </c>
      <c r="B420" s="364">
        <f t="shared" si="180"/>
        <v>40.506250000000001</v>
      </c>
      <c r="C420" s="337">
        <f t="shared" si="161"/>
        <v>80.395796246534161</v>
      </c>
      <c r="D420" s="338">
        <f t="shared" si="162"/>
        <v>1.558357544739484</v>
      </c>
      <c r="E420" s="338">
        <f t="shared" si="163"/>
        <v>1.0018637676853819</v>
      </c>
      <c r="F420" s="339">
        <f t="shared" si="164"/>
        <v>6.100618968648492E-2</v>
      </c>
      <c r="G420" s="338">
        <f t="shared" si="165"/>
        <v>1</v>
      </c>
      <c r="H420" s="339">
        <f t="shared" si="166"/>
        <v>0</v>
      </c>
      <c r="I420" s="337">
        <f t="shared" si="167"/>
        <v>7662.8339448565694</v>
      </c>
      <c r="J420" s="340">
        <f t="shared" si="168"/>
        <v>1.5706658267723157</v>
      </c>
      <c r="K420" s="348">
        <f t="shared" si="184"/>
        <v>7.2938569343468656</v>
      </c>
      <c r="L420" s="349">
        <f t="shared" si="185"/>
        <v>1.433261464229566</v>
      </c>
      <c r="M420" s="337">
        <f t="shared" si="169"/>
        <v>1.0047771824347973</v>
      </c>
      <c r="N420" s="340">
        <f t="shared" si="170"/>
        <v>9.7552465344454747E-2</v>
      </c>
      <c r="O420" s="341">
        <f t="shared" si="171"/>
        <v>0.9995903701859099</v>
      </c>
      <c r="P420" s="342">
        <f t="shared" si="172"/>
        <v>4.9636355425449447E-2</v>
      </c>
      <c r="Q420" s="343">
        <f t="shared" si="173"/>
        <v>3.4761831046894374</v>
      </c>
      <c r="R420" s="344">
        <f t="shared" si="174"/>
        <v>-102.09790149140358</v>
      </c>
      <c r="S420" s="346">
        <f t="shared" si="175"/>
        <v>77.902098508596424</v>
      </c>
      <c r="U420" s="319">
        <f t="shared" si="181"/>
        <v>1000000000</v>
      </c>
      <c r="V420" s="319">
        <f t="shared" si="182"/>
        <v>1640756289.0625</v>
      </c>
      <c r="X420" s="345">
        <f t="shared" si="176"/>
        <v>37.237185642371614</v>
      </c>
      <c r="Y420" s="346">
        <f t="shared" si="177"/>
        <v>-13.462034621101118</v>
      </c>
      <c r="AA420" s="345">
        <f t="shared" si="178"/>
        <v>23.037044475234584</v>
      </c>
      <c r="AB420" s="346">
        <f t="shared" si="179"/>
        <v>-88.635866870302465</v>
      </c>
      <c r="AD420">
        <f t="shared" si="183"/>
        <v>0</v>
      </c>
      <c r="AE420">
        <f t="shared" si="186"/>
        <v>0</v>
      </c>
    </row>
    <row r="421" spans="1:31" x14ac:dyDescent="0.2">
      <c r="A421" s="347">
        <v>40738</v>
      </c>
      <c r="B421" s="364">
        <f t="shared" si="180"/>
        <v>40.738</v>
      </c>
      <c r="C421" s="337">
        <f t="shared" si="161"/>
        <v>80.855696912845204</v>
      </c>
      <c r="D421" s="338">
        <f t="shared" si="162"/>
        <v>1.5584282991441352</v>
      </c>
      <c r="E421" s="338">
        <f t="shared" si="163"/>
        <v>1.0018851350665958</v>
      </c>
      <c r="F421" s="339">
        <f t="shared" si="164"/>
        <v>6.1354354002509569E-2</v>
      </c>
      <c r="G421" s="338">
        <f t="shared" si="165"/>
        <v>1</v>
      </c>
      <c r="H421" s="339">
        <f t="shared" si="166"/>
        <v>0</v>
      </c>
      <c r="I421" s="337">
        <f t="shared" si="167"/>
        <v>7706.675617106238</v>
      </c>
      <c r="J421" s="340">
        <f t="shared" si="168"/>
        <v>1.5706665691597645</v>
      </c>
      <c r="K421" s="348">
        <f t="shared" si="184"/>
        <v>7.3348053489252081</v>
      </c>
      <c r="L421" s="349">
        <f t="shared" si="185"/>
        <v>1.4340341245624477</v>
      </c>
      <c r="M421" s="337">
        <f t="shared" si="169"/>
        <v>1.0048318707643424</v>
      </c>
      <c r="N421" s="340">
        <f t="shared" si="170"/>
        <v>9.8107031714497181E-2</v>
      </c>
      <c r="O421" s="341">
        <f t="shared" si="171"/>
        <v>0.99958568417077465</v>
      </c>
      <c r="P421" s="342">
        <f t="shared" si="172"/>
        <v>4.9920811542520878E-2</v>
      </c>
      <c r="Q421" s="343">
        <f t="shared" si="173"/>
        <v>3.4254643968055283</v>
      </c>
      <c r="R421" s="344">
        <f t="shared" si="174"/>
        <v>-102.08585188129747</v>
      </c>
      <c r="S421" s="346">
        <f t="shared" si="175"/>
        <v>77.914148118702528</v>
      </c>
      <c r="U421" s="319">
        <f t="shared" si="181"/>
        <v>1000000000</v>
      </c>
      <c r="V421" s="319">
        <f t="shared" si="182"/>
        <v>1659584644</v>
      </c>
      <c r="X421" s="345">
        <f t="shared" si="176"/>
        <v>37.235786645835859</v>
      </c>
      <c r="Y421" s="346">
        <f t="shared" si="177"/>
        <v>-13.449581293146494</v>
      </c>
      <c r="AA421" s="345">
        <f t="shared" si="178"/>
        <v>22.987724763886433</v>
      </c>
      <c r="AB421" s="346">
        <f t="shared" si="179"/>
        <v>-88.636270588150992</v>
      </c>
      <c r="AD421">
        <f t="shared" si="183"/>
        <v>0</v>
      </c>
      <c r="AE421">
        <f t="shared" si="186"/>
        <v>0</v>
      </c>
    </row>
    <row r="422" spans="1:31" x14ac:dyDescent="0.2">
      <c r="A422" s="347">
        <v>40975.25</v>
      </c>
      <c r="B422" s="364">
        <f t="shared" si="180"/>
        <v>40.975250000000003</v>
      </c>
      <c r="C422" s="337">
        <f t="shared" si="161"/>
        <v>81.326512572579873</v>
      </c>
      <c r="D422" s="338">
        <f t="shared" si="162"/>
        <v>1.5584999037816933</v>
      </c>
      <c r="E422" s="338">
        <f t="shared" si="163"/>
        <v>1.0019071353475695</v>
      </c>
      <c r="F422" s="339">
        <f t="shared" si="164"/>
        <v>6.171076569019348E-2</v>
      </c>
      <c r="G422" s="338">
        <f t="shared" si="165"/>
        <v>1</v>
      </c>
      <c r="H422" s="339">
        <f t="shared" si="166"/>
        <v>0</v>
      </c>
      <c r="I422" s="337">
        <f t="shared" si="167"/>
        <v>7751.5577605463332</v>
      </c>
      <c r="J422" s="340">
        <f t="shared" si="168"/>
        <v>1.5706673204669217</v>
      </c>
      <c r="K422" s="348">
        <f t="shared" si="184"/>
        <v>7.3767300556040887</v>
      </c>
      <c r="L422" s="349">
        <f t="shared" si="185"/>
        <v>1.4348162356552774</v>
      </c>
      <c r="M422" s="337">
        <f t="shared" si="169"/>
        <v>1.0048881770656921</v>
      </c>
      <c r="N422" s="340">
        <f t="shared" si="170"/>
        <v>9.8674696607669143E-2</v>
      </c>
      <c r="O422" s="341">
        <f t="shared" si="171"/>
        <v>0.99958085959952692</v>
      </c>
      <c r="P422" s="342">
        <f t="shared" si="172"/>
        <v>5.0212026831573921E-2</v>
      </c>
      <c r="Q422" s="343">
        <f t="shared" si="173"/>
        <v>3.3738476535183919</v>
      </c>
      <c r="R422" s="344">
        <f t="shared" si="174"/>
        <v>-102.07397523088478</v>
      </c>
      <c r="S422" s="346">
        <f t="shared" si="175"/>
        <v>77.926024769115216</v>
      </c>
      <c r="U422" s="319">
        <f t="shared" si="181"/>
        <v>1000000000</v>
      </c>
      <c r="V422" s="319">
        <f t="shared" si="182"/>
        <v>1678971112.5625</v>
      </c>
      <c r="X422" s="345">
        <f t="shared" si="176"/>
        <v>37.234367741506816</v>
      </c>
      <c r="Y422" s="346">
        <f t="shared" si="177"/>
        <v>-13.437337477688725</v>
      </c>
      <c r="AA422" s="345">
        <f t="shared" si="178"/>
        <v>22.937526924928342</v>
      </c>
      <c r="AB422" s="346">
        <f t="shared" si="179"/>
        <v>-88.636637753196069</v>
      </c>
      <c r="AD422">
        <f t="shared" si="183"/>
        <v>0</v>
      </c>
      <c r="AE422">
        <f t="shared" si="186"/>
        <v>0</v>
      </c>
    </row>
    <row r="423" spans="1:31" x14ac:dyDescent="0.2">
      <c r="A423" s="347">
        <v>41212.5</v>
      </c>
      <c r="B423" s="364">
        <f t="shared" si="180"/>
        <v>41.212499999999999</v>
      </c>
      <c r="C423" s="337">
        <f t="shared" si="161"/>
        <v>81.79732864449366</v>
      </c>
      <c r="D423" s="338">
        <f t="shared" si="162"/>
        <v>1.5585706841233964</v>
      </c>
      <c r="E423" s="338">
        <f t="shared" si="163"/>
        <v>1.0019292628944976</v>
      </c>
      <c r="F423" s="339">
        <f t="shared" si="164"/>
        <v>6.2067161680487502E-2</v>
      </c>
      <c r="G423" s="338">
        <f t="shared" si="165"/>
        <v>1</v>
      </c>
      <c r="H423" s="339">
        <f t="shared" si="166"/>
        <v>0</v>
      </c>
      <c r="I423" s="337">
        <f t="shared" si="167"/>
        <v>7796.439903990753</v>
      </c>
      <c r="J423" s="340">
        <f t="shared" si="168"/>
        <v>1.5706680631239063</v>
      </c>
      <c r="K423" s="348">
        <f t="shared" si="184"/>
        <v>7.4186592236100211</v>
      </c>
      <c r="L423" s="349">
        <f t="shared" si="185"/>
        <v>1.4355895064635302</v>
      </c>
      <c r="M423" s="337">
        <f t="shared" si="169"/>
        <v>1.0049448071493081</v>
      </c>
      <c r="N423" s="340">
        <f t="shared" si="170"/>
        <v>9.9242297706265206E-2</v>
      </c>
      <c r="O423" s="341">
        <f t="shared" si="171"/>
        <v>0.99957600736830243</v>
      </c>
      <c r="P423" s="342">
        <f t="shared" si="172"/>
        <v>5.0503250592502345E-2</v>
      </c>
      <c r="Q423" s="343">
        <f t="shared" si="173"/>
        <v>3.322536404136855</v>
      </c>
      <c r="R423" s="344">
        <f t="shared" si="174"/>
        <v>-102.06255509681353</v>
      </c>
      <c r="S423" s="346">
        <f t="shared" si="175"/>
        <v>77.937444903186474</v>
      </c>
      <c r="U423" s="319">
        <f t="shared" si="181"/>
        <v>1000000000</v>
      </c>
      <c r="V423" s="319">
        <f t="shared" si="182"/>
        <v>1698470156.25</v>
      </c>
      <c r="X423" s="345">
        <f t="shared" si="176"/>
        <v>37.232961923880396</v>
      </c>
      <c r="Y423" s="346">
        <f t="shared" si="177"/>
        <v>-13.425596022449133</v>
      </c>
      <c r="AA423" s="345">
        <f t="shared" si="178"/>
        <v>22.887621493173217</v>
      </c>
      <c r="AB423" s="346">
        <f t="shared" si="179"/>
        <v>-88.636959074364384</v>
      </c>
      <c r="AD423">
        <f t="shared" si="183"/>
        <v>0</v>
      </c>
      <c r="AE423">
        <f t="shared" si="186"/>
        <v>0</v>
      </c>
    </row>
    <row r="424" spans="1:31" x14ac:dyDescent="0.2">
      <c r="A424" s="347">
        <v>41449.75</v>
      </c>
      <c r="B424" s="364">
        <f t="shared" si="180"/>
        <v>41.449750000000002</v>
      </c>
      <c r="C424" s="337">
        <f t="shared" si="161"/>
        <v>82.268145121509903</v>
      </c>
      <c r="D424" s="338">
        <f t="shared" si="162"/>
        <v>1.5586406543207405</v>
      </c>
      <c r="E424" s="338">
        <f t="shared" si="163"/>
        <v>1.0019515176989484</v>
      </c>
      <c r="F424" s="339">
        <f t="shared" si="164"/>
        <v>6.242354188389717E-2</v>
      </c>
      <c r="G424" s="338">
        <f t="shared" si="165"/>
        <v>1</v>
      </c>
      <c r="H424" s="339">
        <f t="shared" si="166"/>
        <v>0</v>
      </c>
      <c r="I424" s="337">
        <f t="shared" si="167"/>
        <v>7841.3220474394238</v>
      </c>
      <c r="J424" s="340">
        <f t="shared" si="168"/>
        <v>1.5706687972792537</v>
      </c>
      <c r="K424" s="348">
        <f t="shared" si="184"/>
        <v>7.4605927777238881</v>
      </c>
      <c r="L424" s="349">
        <f t="shared" si="185"/>
        <v>1.4363540851196237</v>
      </c>
      <c r="M424" s="337">
        <f t="shared" si="169"/>
        <v>1.0050017609604569</v>
      </c>
      <c r="N424" s="340">
        <f t="shared" si="170"/>
        <v>9.9809834655371313E-2</v>
      </c>
      <c r="O424" s="341">
        <f t="shared" si="171"/>
        <v>0.99957112748328658</v>
      </c>
      <c r="P424" s="342">
        <f t="shared" si="172"/>
        <v>5.0794482874302153E-2</v>
      </c>
      <c r="Q424" s="343">
        <f t="shared" si="173"/>
        <v>3.2715269526996988</v>
      </c>
      <c r="R424" s="344">
        <f t="shared" si="174"/>
        <v>-102.05158379865269</v>
      </c>
      <c r="S424" s="346">
        <f t="shared" si="175"/>
        <v>77.948416201347314</v>
      </c>
      <c r="U424" s="319">
        <f t="shared" si="181"/>
        <v>1000000000</v>
      </c>
      <c r="V424" s="319">
        <f t="shared" si="182"/>
        <v>1718081775.0625</v>
      </c>
      <c r="X424" s="345">
        <f t="shared" si="176"/>
        <v>37.231568837307798</v>
      </c>
      <c r="Y424" s="346">
        <f t="shared" si="177"/>
        <v>-13.414348428240761</v>
      </c>
      <c r="AA424" s="345">
        <f t="shared" si="178"/>
        <v>22.838005128308666</v>
      </c>
      <c r="AB424" s="346">
        <f t="shared" si="179"/>
        <v>-88.637235370411929</v>
      </c>
      <c r="AD424">
        <f t="shared" si="183"/>
        <v>0</v>
      </c>
      <c r="AE424">
        <f t="shared" si="186"/>
        <v>0</v>
      </c>
    </row>
    <row r="425" spans="1:31" x14ac:dyDescent="0.2">
      <c r="A425" s="347">
        <v>41687</v>
      </c>
      <c r="B425" s="364">
        <f t="shared" si="180"/>
        <v>41.686999999999998</v>
      </c>
      <c r="C425" s="337">
        <f t="shared" si="161"/>
        <v>82.73896199671303</v>
      </c>
      <c r="D425" s="338">
        <f t="shared" si="162"/>
        <v>1.5587098282031442</v>
      </c>
      <c r="E425" s="338">
        <f t="shared" si="163"/>
        <v>1.0019738997524426</v>
      </c>
      <c r="F425" s="339">
        <f t="shared" si="164"/>
        <v>6.2779906210951975E-2</v>
      </c>
      <c r="G425" s="338">
        <f t="shared" si="165"/>
        <v>1</v>
      </c>
      <c r="H425" s="339">
        <f t="shared" si="166"/>
        <v>0</v>
      </c>
      <c r="I425" s="337">
        <f t="shared" si="167"/>
        <v>7886.204190892272</v>
      </c>
      <c r="J425" s="340">
        <f t="shared" si="168"/>
        <v>1.570669523078118</v>
      </c>
      <c r="K425" s="348">
        <f t="shared" si="184"/>
        <v>7.5025306444004682</v>
      </c>
      <c r="L425" s="349">
        <f t="shared" si="185"/>
        <v>1.4371101164850069</v>
      </c>
      <c r="M425" s="337">
        <f t="shared" si="169"/>
        <v>1.005059038444104</v>
      </c>
      <c r="N425" s="340">
        <f t="shared" si="170"/>
        <v>0.10037730710031893</v>
      </c>
      <c r="O425" s="341">
        <f t="shared" si="171"/>
        <v>0.9995662199507005</v>
      </c>
      <c r="P425" s="342">
        <f t="shared" si="172"/>
        <v>5.1085723725968361E-2</v>
      </c>
      <c r="Q425" s="343">
        <f t="shared" si="173"/>
        <v>3.2208156703449293</v>
      </c>
      <c r="R425" s="344">
        <f t="shared" si="174"/>
        <v>-102.04105382474913</v>
      </c>
      <c r="S425" s="346">
        <f t="shared" si="175"/>
        <v>77.958946175250873</v>
      </c>
      <c r="U425" s="319">
        <f t="shared" si="181"/>
        <v>1000000000</v>
      </c>
      <c r="V425" s="319">
        <f t="shared" si="182"/>
        <v>1737805969</v>
      </c>
      <c r="X425" s="345">
        <f t="shared" si="176"/>
        <v>37.230188136083044</v>
      </c>
      <c r="Y425" s="346">
        <f t="shared" si="177"/>
        <v>-13.403586383109664</v>
      </c>
      <c r="AA425" s="345">
        <f t="shared" si="178"/>
        <v>22.788674547178648</v>
      </c>
      <c r="AB425" s="346">
        <f t="shared" si="179"/>
        <v>-88.637467441639473</v>
      </c>
      <c r="AD425">
        <f t="shared" si="183"/>
        <v>0</v>
      </c>
      <c r="AE425">
        <f t="shared" si="186"/>
        <v>0</v>
      </c>
    </row>
    <row r="426" spans="1:31" x14ac:dyDescent="0.2">
      <c r="A426" s="347">
        <v>41929.75</v>
      </c>
      <c r="B426" s="364">
        <f t="shared" si="180"/>
        <v>41.929749999999999</v>
      </c>
      <c r="C426" s="337">
        <f t="shared" si="161"/>
        <v>83.220693893713815</v>
      </c>
      <c r="D426" s="338">
        <f t="shared" si="162"/>
        <v>1.5587797955718685</v>
      </c>
      <c r="E426" s="338">
        <f t="shared" si="163"/>
        <v>1.001996932372581</v>
      </c>
      <c r="F426" s="339">
        <f t="shared" si="164"/>
        <v>6.3144515355739381E-2</v>
      </c>
      <c r="G426" s="338">
        <f t="shared" si="165"/>
        <v>1</v>
      </c>
      <c r="H426" s="339">
        <f t="shared" si="166"/>
        <v>0</v>
      </c>
      <c r="I426" s="337">
        <f t="shared" si="167"/>
        <v>7932.1268055358451</v>
      </c>
      <c r="J426" s="340">
        <f t="shared" si="168"/>
        <v>1.5706702572013103</v>
      </c>
      <c r="K426" s="348">
        <f t="shared" si="184"/>
        <v>7.545445115845439</v>
      </c>
      <c r="L426" s="349">
        <f t="shared" si="185"/>
        <v>1.4378749753468094</v>
      </c>
      <c r="M426" s="337">
        <f t="shared" si="169"/>
        <v>1.0051179787083606</v>
      </c>
      <c r="N426" s="340">
        <f t="shared" si="170"/>
        <v>0.10095786772591465</v>
      </c>
      <c r="O426" s="341">
        <f t="shared" si="171"/>
        <v>0.9995611700403616</v>
      </c>
      <c r="P426" s="342">
        <f t="shared" si="172"/>
        <v>5.1383725130877238E-2</v>
      </c>
      <c r="Q426" s="343">
        <f t="shared" si="173"/>
        <v>3.169233685172745</v>
      </c>
      <c r="R426" s="344">
        <f t="shared" si="174"/>
        <v>-102.03072886834516</v>
      </c>
      <c r="S426" s="346">
        <f t="shared" si="175"/>
        <v>77.969271131654835</v>
      </c>
      <c r="U426" s="319">
        <f t="shared" si="181"/>
        <v>1000000000</v>
      </c>
      <c r="V426" s="319">
        <f t="shared" si="182"/>
        <v>1758103935.0625</v>
      </c>
      <c r="X426" s="345">
        <f t="shared" si="176"/>
        <v>37.228787895887663</v>
      </c>
      <c r="Y426" s="346">
        <f t="shared" si="177"/>
        <v>-13.393068934151849</v>
      </c>
      <c r="AA426" s="345">
        <f t="shared" si="178"/>
        <v>22.738492802201847</v>
      </c>
      <c r="AB426" s="346">
        <f t="shared" si="179"/>
        <v>-88.637659934193294</v>
      </c>
      <c r="AD426">
        <f t="shared" si="183"/>
        <v>0</v>
      </c>
      <c r="AE426">
        <f t="shared" si="186"/>
        <v>0</v>
      </c>
    </row>
    <row r="427" spans="1:31" x14ac:dyDescent="0.2">
      <c r="A427" s="347">
        <v>42172.5</v>
      </c>
      <c r="B427" s="364">
        <f t="shared" si="180"/>
        <v>42.172499999999999</v>
      </c>
      <c r="C427" s="337">
        <f t="shared" si="161"/>
        <v>83.702426193426504</v>
      </c>
      <c r="D427" s="338">
        <f t="shared" si="162"/>
        <v>1.5588489575749915</v>
      </c>
      <c r="E427" s="338">
        <f t="shared" si="163"/>
        <v>1.0020200981918856</v>
      </c>
      <c r="F427" s="339">
        <f t="shared" si="164"/>
        <v>6.3509107690111227E-2</v>
      </c>
      <c r="G427" s="338">
        <f t="shared" si="165"/>
        <v>1</v>
      </c>
      <c r="H427" s="339">
        <f t="shared" si="166"/>
        <v>0</v>
      </c>
      <c r="I427" s="337">
        <f t="shared" si="167"/>
        <v>7978.0494201836427</v>
      </c>
      <c r="J427" s="340">
        <f t="shared" si="168"/>
        <v>1.5706709828730994</v>
      </c>
      <c r="K427" s="348">
        <f t="shared" si="184"/>
        <v>7.5883639515160821</v>
      </c>
      <c r="L427" s="349">
        <f t="shared" si="185"/>
        <v>1.438631182755072</v>
      </c>
      <c r="M427" s="337">
        <f t="shared" si="169"/>
        <v>1.0051772577084788</v>
      </c>
      <c r="N427" s="340">
        <f t="shared" si="170"/>
        <v>0.10153836007155551</v>
      </c>
      <c r="O427" s="341">
        <f t="shared" si="171"/>
        <v>0.99955609119901767</v>
      </c>
      <c r="P427" s="342">
        <f t="shared" si="172"/>
        <v>5.1681735611368268E-2</v>
      </c>
      <c r="Q427" s="343">
        <f t="shared" si="173"/>
        <v>3.117956375772498</v>
      </c>
      <c r="R427" s="344">
        <f t="shared" si="174"/>
        <v>-102.02085054644166</v>
      </c>
      <c r="S427" s="346">
        <f t="shared" si="175"/>
        <v>77.979149453558335</v>
      </c>
      <c r="U427" s="319">
        <f t="shared" si="181"/>
        <v>1000000000</v>
      </c>
      <c r="V427" s="319">
        <f t="shared" si="182"/>
        <v>1778519756.25</v>
      </c>
      <c r="X427" s="345">
        <f t="shared" si="176"/>
        <v>37.227399920176488</v>
      </c>
      <c r="Y427" s="346">
        <f t="shared" si="177"/>
        <v>-13.383042780586125</v>
      </c>
      <c r="AA427" s="345">
        <f t="shared" si="178"/>
        <v>22.688603468512767</v>
      </c>
      <c r="AB427" s="346">
        <f t="shared" si="179"/>
        <v>-88.637807765855541</v>
      </c>
      <c r="AD427">
        <f t="shared" si="183"/>
        <v>0</v>
      </c>
      <c r="AE427">
        <f t="shared" si="186"/>
        <v>0</v>
      </c>
    </row>
    <row r="428" spans="1:31" x14ac:dyDescent="0.2">
      <c r="A428" s="347">
        <v>42415.25</v>
      </c>
      <c r="B428" s="364">
        <f t="shared" si="180"/>
        <v>42.41525</v>
      </c>
      <c r="C428" s="337">
        <f t="shared" si="161"/>
        <v>84.18415888893766</v>
      </c>
      <c r="D428" s="338">
        <f t="shared" si="162"/>
        <v>1.5589173280376394</v>
      </c>
      <c r="E428" s="338">
        <f t="shared" si="163"/>
        <v>1.0020433972011185</v>
      </c>
      <c r="F428" s="339">
        <f t="shared" si="164"/>
        <v>6.3873683118308058E-2</v>
      </c>
      <c r="G428" s="338">
        <f t="shared" si="165"/>
        <v>1</v>
      </c>
      <c r="H428" s="339">
        <f t="shared" si="166"/>
        <v>0</v>
      </c>
      <c r="I428" s="337">
        <f t="shared" si="167"/>
        <v>8023.9720348355941</v>
      </c>
      <c r="J428" s="340">
        <f t="shared" si="168"/>
        <v>1.5706717002385917</v>
      </c>
      <c r="K428" s="348">
        <f t="shared" si="184"/>
        <v>7.6312870777783637</v>
      </c>
      <c r="L428" s="349">
        <f t="shared" si="185"/>
        <v>1.4393788838210808</v>
      </c>
      <c r="M428" s="337">
        <f t="shared" si="169"/>
        <v>1.0052368753845331</v>
      </c>
      <c r="N428" s="340">
        <f t="shared" si="170"/>
        <v>0.10211878375813709</v>
      </c>
      <c r="O428" s="341">
        <f t="shared" si="171"/>
        <v>0.99955098343344928</v>
      </c>
      <c r="P428" s="342">
        <f t="shared" si="172"/>
        <v>5.1979755219920223E-2</v>
      </c>
      <c r="Q428" s="343">
        <f t="shared" si="173"/>
        <v>3.0669800626773496</v>
      </c>
      <c r="R428" s="344">
        <f t="shared" si="174"/>
        <v>-102.01141133198217</v>
      </c>
      <c r="S428" s="346">
        <f t="shared" si="175"/>
        <v>77.988588668017826</v>
      </c>
      <c r="U428" s="319">
        <f t="shared" si="181"/>
        <v>1000000000</v>
      </c>
      <c r="V428" s="319">
        <f t="shared" si="182"/>
        <v>1799053432.5625</v>
      </c>
      <c r="X428" s="345">
        <f t="shared" si="176"/>
        <v>37.226023868853538</v>
      </c>
      <c r="Y428" s="346">
        <f t="shared" si="177"/>
        <v>-13.373499594741098</v>
      </c>
      <c r="AA428" s="345">
        <f t="shared" si="178"/>
        <v>22.639003206740572</v>
      </c>
      <c r="AB428" s="346">
        <f t="shared" si="179"/>
        <v>-88.637911737241055</v>
      </c>
      <c r="AD428">
        <f t="shared" si="183"/>
        <v>0</v>
      </c>
      <c r="AE428">
        <f t="shared" si="186"/>
        <v>0</v>
      </c>
    </row>
    <row r="429" spans="1:31" x14ac:dyDescent="0.2">
      <c r="A429" s="347">
        <v>42658</v>
      </c>
      <c r="B429" s="364">
        <f t="shared" si="180"/>
        <v>42.658000000000001</v>
      </c>
      <c r="C429" s="337">
        <f t="shared" si="161"/>
        <v>84.665891973491256</v>
      </c>
      <c r="D429" s="338">
        <f t="shared" si="162"/>
        <v>1.5589849204703192</v>
      </c>
      <c r="E429" s="338">
        <f t="shared" si="163"/>
        <v>1.0020668293909887</v>
      </c>
      <c r="F429" s="339">
        <f t="shared" si="164"/>
        <v>6.4238241544597244E-2</v>
      </c>
      <c r="G429" s="338">
        <f t="shared" si="165"/>
        <v>1</v>
      </c>
      <c r="H429" s="339">
        <f t="shared" si="166"/>
        <v>0</v>
      </c>
      <c r="I429" s="337">
        <f t="shared" si="167"/>
        <v>8069.8946494916281</v>
      </c>
      <c r="J429" s="340">
        <f t="shared" si="168"/>
        <v>1.5706724094395912</v>
      </c>
      <c r="K429" s="348">
        <f t="shared" si="184"/>
        <v>7.6742144226383573</v>
      </c>
      <c r="L429" s="349">
        <f t="shared" si="185"/>
        <v>1.4401182204478127</v>
      </c>
      <c r="M429" s="337">
        <f t="shared" si="169"/>
        <v>1.0052968316762696</v>
      </c>
      <c r="N429" s="340">
        <f t="shared" si="170"/>
        <v>0.10269913840682976</v>
      </c>
      <c r="O429" s="341">
        <f t="shared" si="171"/>
        <v>0.99954584675047642</v>
      </c>
      <c r="P429" s="342">
        <f t="shared" si="172"/>
        <v>5.2277784009010696E-2</v>
      </c>
      <c r="Q429" s="343">
        <f t="shared" si="173"/>
        <v>3.0163011330745886</v>
      </c>
      <c r="R429" s="344">
        <f t="shared" si="174"/>
        <v>-102.00240386353124</v>
      </c>
      <c r="S429" s="346">
        <f t="shared" si="175"/>
        <v>77.997596136468758</v>
      </c>
      <c r="U429" s="319">
        <f t="shared" si="181"/>
        <v>1000000000</v>
      </c>
      <c r="V429" s="319">
        <f t="shared" si="182"/>
        <v>1819704964</v>
      </c>
      <c r="X429" s="345">
        <f t="shared" si="176"/>
        <v>37.224659411341754</v>
      </c>
      <c r="Y429" s="346">
        <f t="shared" si="177"/>
        <v>-13.364431232594558</v>
      </c>
      <c r="AA429" s="345">
        <f t="shared" si="178"/>
        <v>22.589688734649599</v>
      </c>
      <c r="AB429" s="346">
        <f t="shared" si="179"/>
        <v>-88.637972630936687</v>
      </c>
      <c r="AD429">
        <f t="shared" si="183"/>
        <v>0</v>
      </c>
      <c r="AE429">
        <f t="shared" si="186"/>
        <v>0</v>
      </c>
    </row>
    <row r="430" spans="1:31" x14ac:dyDescent="0.2">
      <c r="A430" s="347">
        <v>42906.5</v>
      </c>
      <c r="B430" s="364">
        <f t="shared" si="180"/>
        <v>42.906500000000001</v>
      </c>
      <c r="C430" s="337">
        <f t="shared" si="161"/>
        <v>85.159036227499072</v>
      </c>
      <c r="D430" s="338">
        <f t="shared" si="162"/>
        <v>1.5590533218514664</v>
      </c>
      <c r="E430" s="338">
        <f t="shared" si="163"/>
        <v>1.002090954557487</v>
      </c>
      <c r="F430" s="339">
        <f t="shared" si="164"/>
        <v>6.4611417526743584E-2</v>
      </c>
      <c r="G430" s="338">
        <f t="shared" si="165"/>
        <v>1</v>
      </c>
      <c r="H430" s="339">
        <f t="shared" si="166"/>
        <v>0</v>
      </c>
      <c r="I430" s="337">
        <f t="shared" si="167"/>
        <v>8116.9050294835261</v>
      </c>
      <c r="J430" s="340">
        <f t="shared" si="168"/>
        <v>1.5706731271271788</v>
      </c>
      <c r="K430" s="348">
        <f t="shared" si="184"/>
        <v>7.718162880295294</v>
      </c>
      <c r="L430" s="349">
        <f t="shared" si="185"/>
        <v>1.4408665505734737</v>
      </c>
      <c r="M430" s="337">
        <f t="shared" si="169"/>
        <v>1.0053585588265048</v>
      </c>
      <c r="N430" s="340">
        <f t="shared" si="170"/>
        <v>0.10329316796466098</v>
      </c>
      <c r="O430" s="341">
        <f t="shared" si="171"/>
        <v>0.99954055844949907</v>
      </c>
      <c r="P430" s="342">
        <f t="shared" si="172"/>
        <v>5.2582881746481673E-2</v>
      </c>
      <c r="Q430" s="343">
        <f t="shared" si="173"/>
        <v>2.9647261053128937</v>
      </c>
      <c r="R430" s="344">
        <f t="shared" si="174"/>
        <v>-101.99362272703391</v>
      </c>
      <c r="S430" s="346">
        <f t="shared" si="175"/>
        <v>78.006377272966091</v>
      </c>
      <c r="U430" s="319">
        <f t="shared" si="181"/>
        <v>1000000000</v>
      </c>
      <c r="V430" s="319">
        <f t="shared" si="182"/>
        <v>1840967742.25</v>
      </c>
      <c r="X430" s="345">
        <f t="shared" si="176"/>
        <v>37.22327430757376</v>
      </c>
      <c r="Y430" s="346">
        <f t="shared" si="177"/>
        <v>-13.355631581741152</v>
      </c>
      <c r="AA430" s="345">
        <f t="shared" si="178"/>
        <v>22.5394988106559</v>
      </c>
      <c r="AB430" s="346">
        <f t="shared" si="179"/>
        <v>-88.637991145292744</v>
      </c>
      <c r="AD430">
        <f t="shared" si="183"/>
        <v>0</v>
      </c>
      <c r="AE430">
        <f t="shared" si="186"/>
        <v>0</v>
      </c>
    </row>
    <row r="431" spans="1:31" x14ac:dyDescent="0.2">
      <c r="A431" s="347">
        <v>43155</v>
      </c>
      <c r="B431" s="364">
        <f t="shared" si="180"/>
        <v>43.155000000000001</v>
      </c>
      <c r="C431" s="337">
        <f t="shared" si="161"/>
        <v>85.652180875356621</v>
      </c>
      <c r="D431" s="338">
        <f t="shared" si="162"/>
        <v>1.5591209355874829</v>
      </c>
      <c r="E431" s="338">
        <f t="shared" si="163"/>
        <v>1.0021152192687552</v>
      </c>
      <c r="F431" s="339">
        <f t="shared" si="164"/>
        <v>6.4984575489064819E-2</v>
      </c>
      <c r="G431" s="338">
        <f t="shared" si="165"/>
        <v>1</v>
      </c>
      <c r="H431" s="339">
        <f t="shared" si="166"/>
        <v>0</v>
      </c>
      <c r="I431" s="337">
        <f t="shared" si="167"/>
        <v>8163.9154094795558</v>
      </c>
      <c r="J431" s="340">
        <f t="shared" si="168"/>
        <v>1.570673836549427</v>
      </c>
      <c r="K431" s="348">
        <f t="shared" si="184"/>
        <v>7.7621156111630505</v>
      </c>
      <c r="L431" s="349">
        <f t="shared" si="185"/>
        <v>1.441606406318847</v>
      </c>
      <c r="M431" s="337">
        <f t="shared" si="169"/>
        <v>1.0054206406951025</v>
      </c>
      <c r="N431" s="340">
        <f t="shared" si="170"/>
        <v>0.10388712437278512</v>
      </c>
      <c r="O431" s="341">
        <f t="shared" si="171"/>
        <v>0.99953523985955306</v>
      </c>
      <c r="P431" s="342">
        <f t="shared" si="172"/>
        <v>5.2887989215844686E-2</v>
      </c>
      <c r="Q431" s="343">
        <f t="shared" si="173"/>
        <v>2.913455261516873</v>
      </c>
      <c r="R431" s="344">
        <f t="shared" si="174"/>
        <v>-101.98527893333751</v>
      </c>
      <c r="S431" s="346">
        <f t="shared" si="175"/>
        <v>78.014721066662489</v>
      </c>
      <c r="U431" s="319">
        <f t="shared" si="181"/>
        <v>1000000000</v>
      </c>
      <c r="V431" s="319">
        <f t="shared" si="182"/>
        <v>1862354025</v>
      </c>
      <c r="X431" s="345">
        <f t="shared" si="176"/>
        <v>37.221900681523877</v>
      </c>
      <c r="Y431" s="346">
        <f t="shared" si="177"/>
        <v>-13.347312812374232</v>
      </c>
      <c r="AA431" s="345">
        <f t="shared" si="178"/>
        <v>22.489601592909757</v>
      </c>
      <c r="AB431" s="346">
        <f t="shared" si="179"/>
        <v>-88.637966120963284</v>
      </c>
      <c r="AD431">
        <f t="shared" si="183"/>
        <v>0</v>
      </c>
      <c r="AE431">
        <f t="shared" si="186"/>
        <v>0</v>
      </c>
    </row>
    <row r="432" spans="1:31" x14ac:dyDescent="0.2">
      <c r="A432" s="347">
        <v>43403.5</v>
      </c>
      <c r="B432" s="364">
        <f t="shared" si="180"/>
        <v>43.403500000000001</v>
      </c>
      <c r="C432" s="337">
        <f t="shared" si="161"/>
        <v>86.145325910300031</v>
      </c>
      <c r="D432" s="338">
        <f t="shared" si="162"/>
        <v>1.5591877752045364</v>
      </c>
      <c r="E432" s="338">
        <f t="shared" si="163"/>
        <v>1.0021396235146574</v>
      </c>
      <c r="F432" s="339">
        <f t="shared" si="164"/>
        <v>6.5357715328951502E-2</v>
      </c>
      <c r="G432" s="338">
        <f t="shared" si="165"/>
        <v>1</v>
      </c>
      <c r="H432" s="339">
        <f t="shared" si="166"/>
        <v>0</v>
      </c>
      <c r="I432" s="337">
        <f t="shared" si="167"/>
        <v>8210.9257894796483</v>
      </c>
      <c r="J432" s="340">
        <f t="shared" si="168"/>
        <v>1.5706745378483014</v>
      </c>
      <c r="K432" s="348">
        <f t="shared" si="184"/>
        <v>7.8060725430596358</v>
      </c>
      <c r="L432" s="349">
        <f t="shared" si="185"/>
        <v>1.4423379300277988</v>
      </c>
      <c r="M432" s="337">
        <f t="shared" si="169"/>
        <v>1.0054830772163581</v>
      </c>
      <c r="N432" s="340">
        <f t="shared" si="170"/>
        <v>0.1044810072257138</v>
      </c>
      <c r="O432" s="341">
        <f t="shared" si="171"/>
        <v>0.99952989098808254</v>
      </c>
      <c r="P432" s="342">
        <f t="shared" si="172"/>
        <v>5.3193106473391767E-2</v>
      </c>
      <c r="Q432" s="343">
        <f t="shared" si="173"/>
        <v>2.8624849326825847</v>
      </c>
      <c r="R432" s="344">
        <f t="shared" si="174"/>
        <v>-101.97736509573726</v>
      </c>
      <c r="S432" s="346">
        <f t="shared" si="175"/>
        <v>78.022634904262745</v>
      </c>
      <c r="U432" s="319">
        <f t="shared" si="181"/>
        <v>1000000000</v>
      </c>
      <c r="V432" s="319">
        <f t="shared" si="182"/>
        <v>1883863812.25</v>
      </c>
      <c r="X432" s="345">
        <f t="shared" si="176"/>
        <v>37.220538207537594</v>
      </c>
      <c r="Y432" s="346">
        <f t="shared" si="177"/>
        <v>-13.339466753692257</v>
      </c>
      <c r="AA432" s="345">
        <f t="shared" si="178"/>
        <v>22.439993738061755</v>
      </c>
      <c r="AB432" s="346">
        <f t="shared" si="179"/>
        <v>-88.637898342045006</v>
      </c>
      <c r="AD432">
        <f t="shared" si="183"/>
        <v>0</v>
      </c>
      <c r="AE432">
        <f t="shared" si="186"/>
        <v>0</v>
      </c>
    </row>
    <row r="433" spans="1:31" x14ac:dyDescent="0.2">
      <c r="A433" s="347">
        <v>43652</v>
      </c>
      <c r="B433" s="364">
        <f t="shared" si="180"/>
        <v>43.652000000000001</v>
      </c>
      <c r="C433" s="337">
        <f t="shared" si="161"/>
        <v>86.638471325719436</v>
      </c>
      <c r="D433" s="338">
        <f t="shared" si="162"/>
        <v>1.5592538539208596</v>
      </c>
      <c r="E433" s="338">
        <f t="shared" si="163"/>
        <v>1.0021641672849995</v>
      </c>
      <c r="F433" s="339">
        <f t="shared" si="164"/>
        <v>6.5730836943824367E-2</v>
      </c>
      <c r="G433" s="338">
        <f t="shared" si="165"/>
        <v>1</v>
      </c>
      <c r="H433" s="339">
        <f t="shared" si="166"/>
        <v>0</v>
      </c>
      <c r="I433" s="337">
        <f t="shared" si="167"/>
        <v>8257.9361694837335</v>
      </c>
      <c r="J433" s="340">
        <f t="shared" si="168"/>
        <v>1.5706752311625352</v>
      </c>
      <c r="K433" s="348">
        <f t="shared" si="184"/>
        <v>7.8500336054129969</v>
      </c>
      <c r="L433" s="349">
        <f t="shared" si="185"/>
        <v>1.4430612608917577</v>
      </c>
      <c r="M433" s="337">
        <f t="shared" si="169"/>
        <v>1.0055458683242082</v>
      </c>
      <c r="N433" s="340">
        <f t="shared" si="170"/>
        <v>0.10507481611826659</v>
      </c>
      <c r="O433" s="341">
        <f t="shared" si="171"/>
        <v>0.99952451184257485</v>
      </c>
      <c r="P433" s="342">
        <f t="shared" si="172"/>
        <v>5.3498233575413633E-2</v>
      </c>
      <c r="Q433" s="343">
        <f t="shared" si="173"/>
        <v>2.8118115161618</v>
      </c>
      <c r="R433" s="344">
        <f t="shared" si="174"/>
        <v>-101.96987399033692</v>
      </c>
      <c r="S433" s="346">
        <f t="shared" si="175"/>
        <v>78.030126009663078</v>
      </c>
      <c r="U433" s="319">
        <f t="shared" si="181"/>
        <v>1000000000</v>
      </c>
      <c r="V433" s="319">
        <f t="shared" si="182"/>
        <v>1905497104</v>
      </c>
      <c r="X433" s="345">
        <f t="shared" si="176"/>
        <v>37.219186569090269</v>
      </c>
      <c r="Y433" s="346">
        <f t="shared" si="177"/>
        <v>-13.33208541534751</v>
      </c>
      <c r="AA433" s="345">
        <f t="shared" si="178"/>
        <v>22.390671959988289</v>
      </c>
      <c r="AB433" s="346">
        <f t="shared" si="179"/>
        <v>-88.637788574989429</v>
      </c>
      <c r="AD433">
        <f t="shared" si="183"/>
        <v>0</v>
      </c>
      <c r="AE433">
        <f t="shared" si="186"/>
        <v>0</v>
      </c>
    </row>
    <row r="434" spans="1:31" x14ac:dyDescent="0.2">
      <c r="A434" s="347">
        <v>43906</v>
      </c>
      <c r="B434" s="364">
        <f t="shared" si="180"/>
        <v>43.905999999999999</v>
      </c>
      <c r="C434" s="337">
        <f t="shared" si="161"/>
        <v>87.142531814877643</v>
      </c>
      <c r="D434" s="338">
        <f t="shared" si="162"/>
        <v>1.5593206222434828</v>
      </c>
      <c r="E434" s="338">
        <f t="shared" si="163"/>
        <v>1.0021893984576637</v>
      </c>
      <c r="F434" s="339">
        <f t="shared" si="164"/>
        <v>6.6112197842279924E-2</v>
      </c>
      <c r="G434" s="338">
        <f t="shared" si="165"/>
        <v>1</v>
      </c>
      <c r="H434" s="339">
        <f t="shared" si="166"/>
        <v>0</v>
      </c>
      <c r="I434" s="337">
        <f t="shared" si="167"/>
        <v>8305.9870206790856</v>
      </c>
      <c r="J434" s="340">
        <f t="shared" si="168"/>
        <v>1.5706759317112147</v>
      </c>
      <c r="K434" s="348">
        <f t="shared" si="184"/>
        <v>7.8949718457902254</v>
      </c>
      <c r="L434" s="349">
        <f t="shared" si="185"/>
        <v>1.4437922759416766</v>
      </c>
      <c r="M434" s="337">
        <f t="shared" si="169"/>
        <v>1.0056104155511691</v>
      </c>
      <c r="N434" s="340">
        <f t="shared" si="170"/>
        <v>0.10568169080695236</v>
      </c>
      <c r="O434" s="341">
        <f t="shared" si="171"/>
        <v>0.99951898236284664</v>
      </c>
      <c r="P434" s="342">
        <f t="shared" si="172"/>
        <v>5.381012422589266E-2</v>
      </c>
      <c r="Q434" s="343">
        <f t="shared" si="173"/>
        <v>2.7603197146727974</v>
      </c>
      <c r="R434" s="344">
        <f t="shared" si="174"/>
        <v>-101.96264660112615</v>
      </c>
      <c r="S434" s="346">
        <f t="shared" si="175"/>
        <v>78.037353398873847</v>
      </c>
      <c r="U434" s="319">
        <f t="shared" si="181"/>
        <v>1000000000</v>
      </c>
      <c r="V434" s="319">
        <f t="shared" si="182"/>
        <v>1927736836</v>
      </c>
      <c r="X434" s="345">
        <f t="shared" si="176"/>
        <v>37.217815892742799</v>
      </c>
      <c r="Y434" s="346">
        <f t="shared" si="177"/>
        <v>-13.325012835056222</v>
      </c>
      <c r="AA434" s="345">
        <f t="shared" si="178"/>
        <v>22.340550834846763</v>
      </c>
      <c r="AB434" s="346">
        <f t="shared" si="179"/>
        <v>-88.637633766069939</v>
      </c>
      <c r="AD434">
        <f t="shared" si="183"/>
        <v>0</v>
      </c>
      <c r="AE434">
        <f t="shared" si="186"/>
        <v>0</v>
      </c>
    </row>
    <row r="435" spans="1:31" x14ac:dyDescent="0.2">
      <c r="A435" s="347">
        <v>44160</v>
      </c>
      <c r="B435" s="364">
        <f t="shared" si="180"/>
        <v>44.16</v>
      </c>
      <c r="C435" s="337">
        <f t="shared" si="161"/>
        <v>87.64659268804968</v>
      </c>
      <c r="D435" s="338">
        <f t="shared" si="162"/>
        <v>1.5593866225890471</v>
      </c>
      <c r="E435" s="338">
        <f t="shared" si="163"/>
        <v>1.002214775377529</v>
      </c>
      <c r="F435" s="339">
        <f t="shared" si="164"/>
        <v>6.6493539483437517E-2</v>
      </c>
      <c r="G435" s="338">
        <f t="shared" si="165"/>
        <v>1</v>
      </c>
      <c r="H435" s="339">
        <f t="shared" si="166"/>
        <v>0</v>
      </c>
      <c r="I435" s="337">
        <f t="shared" si="167"/>
        <v>8354.0378718784668</v>
      </c>
      <c r="J435" s="340">
        <f t="shared" si="168"/>
        <v>1.5706766242010461</v>
      </c>
      <c r="K435" s="348">
        <f t="shared" si="184"/>
        <v>7.9399142573483044</v>
      </c>
      <c r="L435" s="349">
        <f t="shared" si="185"/>
        <v>1.4445150158240512</v>
      </c>
      <c r="M435" s="337">
        <f t="shared" si="169"/>
        <v>1.0056753330936945</v>
      </c>
      <c r="N435" s="340">
        <f t="shared" si="170"/>
        <v>0.10628848737012511</v>
      </c>
      <c r="O435" s="341">
        <f t="shared" si="171"/>
        <v>0.999513421270109</v>
      </c>
      <c r="P435" s="342">
        <f t="shared" si="172"/>
        <v>5.412202528035806E-2</v>
      </c>
      <c r="Q435" s="343">
        <f t="shared" si="173"/>
        <v>2.709130708131581</v>
      </c>
      <c r="R435" s="344">
        <f t="shared" si="174"/>
        <v>-101.95584610371296</v>
      </c>
      <c r="S435" s="346">
        <f t="shared" si="175"/>
        <v>78.044153896287042</v>
      </c>
      <c r="U435" s="319">
        <f t="shared" si="181"/>
        <v>1000000000</v>
      </c>
      <c r="V435" s="319">
        <f t="shared" si="182"/>
        <v>1950105600</v>
      </c>
      <c r="X435" s="345">
        <f t="shared" si="176"/>
        <v>37.216455896075743</v>
      </c>
      <c r="Y435" s="346">
        <f t="shared" si="177"/>
        <v>-13.318409448940367</v>
      </c>
      <c r="AA435" s="345">
        <f t="shared" si="178"/>
        <v>22.2907218249726</v>
      </c>
      <c r="AB435" s="346">
        <f t="shared" si="179"/>
        <v>-88.637436654772586</v>
      </c>
      <c r="AD435">
        <f t="shared" si="183"/>
        <v>0</v>
      </c>
      <c r="AE435">
        <f t="shared" si="186"/>
        <v>0</v>
      </c>
    </row>
    <row r="436" spans="1:31" x14ac:dyDescent="0.2">
      <c r="A436" s="347">
        <v>44414</v>
      </c>
      <c r="B436" s="364">
        <f t="shared" si="180"/>
        <v>44.414000000000001</v>
      </c>
      <c r="C436" s="337">
        <f t="shared" si="161"/>
        <v>88.150653938647935</v>
      </c>
      <c r="D436" s="338">
        <f t="shared" si="162"/>
        <v>1.5594518681312646</v>
      </c>
      <c r="E436" s="338">
        <f t="shared" si="163"/>
        <v>1.0022402980335248</v>
      </c>
      <c r="F436" s="339">
        <f t="shared" si="164"/>
        <v>6.6874861757853635E-2</v>
      </c>
      <c r="G436" s="338">
        <f t="shared" si="165"/>
        <v>1</v>
      </c>
      <c r="H436" s="339">
        <f t="shared" si="166"/>
        <v>0</v>
      </c>
      <c r="I436" s="337">
        <f t="shared" si="167"/>
        <v>8402.0887230818116</v>
      </c>
      <c r="J436" s="340">
        <f t="shared" si="168"/>
        <v>1.5706773087702937</v>
      </c>
      <c r="K436" s="348">
        <f t="shared" si="184"/>
        <v>7.9848607696553531</v>
      </c>
      <c r="L436" s="349">
        <f t="shared" si="185"/>
        <v>1.4452296195193015</v>
      </c>
      <c r="M436" s="337">
        <f t="shared" si="169"/>
        <v>1.0057406208800768</v>
      </c>
      <c r="N436" s="340">
        <f t="shared" si="170"/>
        <v>0.10689520537610911</v>
      </c>
      <c r="O436" s="341">
        <f t="shared" si="171"/>
        <v>0.9995078285724972</v>
      </c>
      <c r="P436" s="342">
        <f t="shared" si="172"/>
        <v>5.4433936798917358E-2</v>
      </c>
      <c r="Q436" s="343">
        <f t="shared" si="173"/>
        <v>2.6582408540189628</v>
      </c>
      <c r="R436" s="344">
        <f t="shared" si="174"/>
        <v>-101.94946528280722</v>
      </c>
      <c r="S436" s="346">
        <f t="shared" si="175"/>
        <v>78.050534717192775</v>
      </c>
      <c r="U436" s="319">
        <f t="shared" si="181"/>
        <v>1000000000</v>
      </c>
      <c r="V436" s="319">
        <f t="shared" si="182"/>
        <v>1972603396</v>
      </c>
      <c r="X436" s="345">
        <f t="shared" si="176"/>
        <v>37.215106268720632</v>
      </c>
      <c r="Y436" s="346">
        <f t="shared" si="177"/>
        <v>-13.312267277197201</v>
      </c>
      <c r="AA436" s="345">
        <f t="shared" si="178"/>
        <v>22.241181598215096</v>
      </c>
      <c r="AB436" s="346">
        <f t="shared" si="179"/>
        <v>-88.637198005610003</v>
      </c>
      <c r="AD436">
        <f t="shared" si="183"/>
        <v>0</v>
      </c>
      <c r="AE436">
        <f t="shared" si="186"/>
        <v>0</v>
      </c>
    </row>
    <row r="437" spans="1:31" x14ac:dyDescent="0.2">
      <c r="A437" s="347">
        <v>44668</v>
      </c>
      <c r="B437" s="364">
        <f t="shared" si="180"/>
        <v>44.667999999999999</v>
      </c>
      <c r="C437" s="337">
        <f t="shared" si="161"/>
        <v>88.654715560234678</v>
      </c>
      <c r="D437" s="338">
        <f t="shared" si="162"/>
        <v>1.559516371744267</v>
      </c>
      <c r="E437" s="338">
        <f t="shared" si="163"/>
        <v>1.002265966414517</v>
      </c>
      <c r="F437" s="339">
        <f t="shared" si="164"/>
        <v>6.725616455611845E-2</v>
      </c>
      <c r="G437" s="338">
        <f t="shared" si="165"/>
        <v>1</v>
      </c>
      <c r="H437" s="339">
        <f t="shared" si="166"/>
        <v>0</v>
      </c>
      <c r="I437" s="337">
        <f t="shared" si="167"/>
        <v>8450.1395742890454</v>
      </c>
      <c r="J437" s="340">
        <f t="shared" si="168"/>
        <v>1.5706779855540753</v>
      </c>
      <c r="K437" s="348">
        <f t="shared" si="184"/>
        <v>8.0298113138500895</v>
      </c>
      <c r="L437" s="349">
        <f t="shared" si="185"/>
        <v>1.4459362229294879</v>
      </c>
      <c r="M437" s="337">
        <f t="shared" si="169"/>
        <v>1.0058062788382167</v>
      </c>
      <c r="N437" s="340">
        <f t="shared" si="170"/>
        <v>0.10750184439357174</v>
      </c>
      <c r="O437" s="341">
        <f t="shared" si="171"/>
        <v>0.99950220427819392</v>
      </c>
      <c r="P437" s="342">
        <f t="shared" si="172"/>
        <v>5.474585884167664E-2</v>
      </c>
      <c r="Q437" s="343">
        <f t="shared" si="173"/>
        <v>2.6076465754900964</v>
      </c>
      <c r="R437" s="344">
        <f t="shared" si="174"/>
        <v>-101.94349708216853</v>
      </c>
      <c r="S437" s="346">
        <f t="shared" si="175"/>
        <v>78.056502917831466</v>
      </c>
      <c r="U437" s="319">
        <f t="shared" si="181"/>
        <v>1000000000</v>
      </c>
      <c r="V437" s="319">
        <f t="shared" si="182"/>
        <v>1995230224</v>
      </c>
      <c r="X437" s="345">
        <f t="shared" si="176"/>
        <v>37.213766709012134</v>
      </c>
      <c r="Y437" s="346">
        <f t="shared" si="177"/>
        <v>-13.306578516240373</v>
      </c>
      <c r="AA437" s="345">
        <f t="shared" si="178"/>
        <v>22.191926879394721</v>
      </c>
      <c r="AB437" s="346">
        <f t="shared" si="179"/>
        <v>-88.636918565928184</v>
      </c>
      <c r="AD437">
        <f t="shared" si="183"/>
        <v>0</v>
      </c>
      <c r="AE437">
        <f t="shared" si="186"/>
        <v>0</v>
      </c>
    </row>
    <row r="438" spans="1:31" x14ac:dyDescent="0.2">
      <c r="A438" s="347">
        <v>44928.25</v>
      </c>
      <c r="B438" s="364">
        <f t="shared" si="180"/>
        <v>44.928249999999998</v>
      </c>
      <c r="C438" s="337">
        <f t="shared" si="161"/>
        <v>89.171180651118604</v>
      </c>
      <c r="D438" s="338">
        <f t="shared" si="162"/>
        <v>1.5595817061709296</v>
      </c>
      <c r="E438" s="338">
        <f t="shared" si="163"/>
        <v>1.0022924175354064</v>
      </c>
      <c r="F438" s="339">
        <f t="shared" si="164"/>
        <v>6.7646829489850166E-2</v>
      </c>
      <c r="G438" s="338">
        <f t="shared" si="165"/>
        <v>1</v>
      </c>
      <c r="H438" s="339">
        <f t="shared" si="166"/>
        <v>0</v>
      </c>
      <c r="I438" s="337">
        <f t="shared" si="167"/>
        <v>8499.3727791224755</v>
      </c>
      <c r="J438" s="340">
        <f t="shared" si="168"/>
        <v>1.5706786710539031</v>
      </c>
      <c r="K438" s="348">
        <f t="shared" si="184"/>
        <v>8.0758720361051672</v>
      </c>
      <c r="L438" s="349">
        <f t="shared" si="185"/>
        <v>1.4466520542071235</v>
      </c>
      <c r="M438" s="337">
        <f t="shared" si="169"/>
        <v>1.0058739362665727</v>
      </c>
      <c r="N438" s="340">
        <f t="shared" si="170"/>
        <v>0.10812332817366525</v>
      </c>
      <c r="O438" s="341">
        <f t="shared" si="171"/>
        <v>0.99949640882695512</v>
      </c>
      <c r="P438" s="342">
        <f t="shared" si="172"/>
        <v>5.506546711023208E-2</v>
      </c>
      <c r="Q438" s="343">
        <f t="shared" si="173"/>
        <v>2.5561102606542869</v>
      </c>
      <c r="R438" s="344">
        <f t="shared" si="174"/>
        <v>-101.93780278487603</v>
      </c>
      <c r="S438" s="346">
        <f t="shared" si="175"/>
        <v>78.062197215123973</v>
      </c>
      <c r="U438" s="319">
        <f t="shared" si="181"/>
        <v>1000000000</v>
      </c>
      <c r="V438" s="319">
        <f t="shared" si="182"/>
        <v>2018547648.0625</v>
      </c>
      <c r="X438" s="345">
        <f t="shared" si="176"/>
        <v>37.212404323376646</v>
      </c>
      <c r="Y438" s="346">
        <f t="shared" si="177"/>
        <v>-13.301212079064447</v>
      </c>
      <c r="AA438" s="345">
        <f t="shared" si="178"/>
        <v>22.141752950194409</v>
      </c>
      <c r="AB438" s="346">
        <f t="shared" si="179"/>
        <v>-88.636590705811585</v>
      </c>
      <c r="AD438">
        <f t="shared" si="183"/>
        <v>0</v>
      </c>
      <c r="AE438">
        <f t="shared" si="186"/>
        <v>0</v>
      </c>
    </row>
    <row r="439" spans="1:31" x14ac:dyDescent="0.2">
      <c r="A439" s="347">
        <v>45188.5</v>
      </c>
      <c r="B439" s="364">
        <f t="shared" si="180"/>
        <v>45.188499999999998</v>
      </c>
      <c r="C439" s="337">
        <f t="shared" si="161"/>
        <v>89.687646118253753</v>
      </c>
      <c r="D439" s="338">
        <f t="shared" si="162"/>
        <v>1.5596462881425015</v>
      </c>
      <c r="E439" s="338">
        <f t="shared" si="163"/>
        <v>1.0023190216171656</v>
      </c>
      <c r="F439" s="339">
        <f t="shared" si="164"/>
        <v>6.8037473744728308E-2</v>
      </c>
      <c r="G439" s="338">
        <f t="shared" si="165"/>
        <v>1</v>
      </c>
      <c r="H439" s="339">
        <f t="shared" si="166"/>
        <v>0</v>
      </c>
      <c r="I439" s="337">
        <f t="shared" si="167"/>
        <v>8548.6059839598511</v>
      </c>
      <c r="J439" s="340">
        <f t="shared" si="168"/>
        <v>1.5706793486578581</v>
      </c>
      <c r="K439" s="348">
        <f t="shared" si="184"/>
        <v>8.1219368496156559</v>
      </c>
      <c r="L439" s="349">
        <f t="shared" si="185"/>
        <v>1.4473597659496944</v>
      </c>
      <c r="M439" s="337">
        <f t="shared" si="169"/>
        <v>1.0059419821534308</v>
      </c>
      <c r="N439" s="340">
        <f t="shared" si="170"/>
        <v>0.10874472811450993</v>
      </c>
      <c r="O439" s="341">
        <f t="shared" si="171"/>
        <v>0.99949058022248249</v>
      </c>
      <c r="P439" s="342">
        <f t="shared" si="172"/>
        <v>5.5385086555031764E-2</v>
      </c>
      <c r="Q439" s="343">
        <f t="shared" si="173"/>
        <v>2.5048768485409894</v>
      </c>
      <c r="R439" s="344">
        <f t="shared" si="174"/>
        <v>-101.93252715930122</v>
      </c>
      <c r="S439" s="346">
        <f t="shared" si="175"/>
        <v>78.067472840698784</v>
      </c>
      <c r="U439" s="319">
        <f t="shared" si="181"/>
        <v>1000000000</v>
      </c>
      <c r="V439" s="319">
        <f t="shared" si="182"/>
        <v>2042000532.25</v>
      </c>
      <c r="X439" s="345">
        <f t="shared" si="176"/>
        <v>37.211051892534023</v>
      </c>
      <c r="Y439" s="346">
        <f t="shared" si="177"/>
        <v>-13.296305600944557</v>
      </c>
      <c r="AA439" s="345">
        <f t="shared" si="178"/>
        <v>22.091871968923726</v>
      </c>
      <c r="AB439" s="346">
        <f t="shared" si="179"/>
        <v>-88.636221558356681</v>
      </c>
      <c r="AD439">
        <f t="shared" si="183"/>
        <v>0</v>
      </c>
      <c r="AE439">
        <f t="shared" si="186"/>
        <v>0</v>
      </c>
    </row>
    <row r="440" spans="1:31" x14ac:dyDescent="0.2">
      <c r="A440" s="347">
        <v>45448.75</v>
      </c>
      <c r="B440" s="364">
        <f t="shared" si="180"/>
        <v>45.448749999999997</v>
      </c>
      <c r="C440" s="337">
        <f t="shared" si="161"/>
        <v>90.204111955177396</v>
      </c>
      <c r="D440" s="338">
        <f t="shared" si="162"/>
        <v>1.5597101305830392</v>
      </c>
      <c r="E440" s="338">
        <f t="shared" si="163"/>
        <v>1.0023457786476151</v>
      </c>
      <c r="F440" s="339">
        <f t="shared" si="164"/>
        <v>6.8428097203177288E-2</v>
      </c>
      <c r="G440" s="338">
        <f t="shared" si="165"/>
        <v>1</v>
      </c>
      <c r="H440" s="339">
        <f t="shared" si="166"/>
        <v>0</v>
      </c>
      <c r="I440" s="337">
        <f t="shared" si="167"/>
        <v>8597.8391888011101</v>
      </c>
      <c r="J440" s="340">
        <f t="shared" si="168"/>
        <v>1.5706800185015806</v>
      </c>
      <c r="K440" s="348">
        <f t="shared" si="184"/>
        <v>8.1680056851616314</v>
      </c>
      <c r="L440" s="349">
        <f t="shared" si="185"/>
        <v>1.4480594948285728</v>
      </c>
      <c r="M440" s="337">
        <f t="shared" si="169"/>
        <v>1.0060104164199655</v>
      </c>
      <c r="N440" s="340">
        <f t="shared" si="170"/>
        <v>0.10936604375327502</v>
      </c>
      <c r="O440" s="341">
        <f t="shared" si="171"/>
        <v>0.99948471847373155</v>
      </c>
      <c r="P440" s="342">
        <f t="shared" si="172"/>
        <v>5.5704717240724066E-2</v>
      </c>
      <c r="Q440" s="343">
        <f t="shared" si="173"/>
        <v>2.4539426960326107</v>
      </c>
      <c r="R440" s="344">
        <f t="shared" si="174"/>
        <v>-101.92766310693918</v>
      </c>
      <c r="S440" s="346">
        <f t="shared" si="175"/>
        <v>78.072336893060822</v>
      </c>
      <c r="U440" s="319">
        <f t="shared" si="181"/>
        <v>1000000000</v>
      </c>
      <c r="V440" s="319">
        <f t="shared" si="182"/>
        <v>2065588876.5625</v>
      </c>
      <c r="X440" s="345">
        <f t="shared" si="176"/>
        <v>37.209709118570522</v>
      </c>
      <c r="Y440" s="346">
        <f t="shared" si="177"/>
        <v>-13.291851232441262</v>
      </c>
      <c r="AA440" s="345">
        <f t="shared" si="178"/>
        <v>22.042280590378848</v>
      </c>
      <c r="AB440" s="346">
        <f t="shared" si="179"/>
        <v>-88.635811874497946</v>
      </c>
      <c r="AD440">
        <f t="shared" si="183"/>
        <v>0</v>
      </c>
      <c r="AE440">
        <f t="shared" si="186"/>
        <v>0</v>
      </c>
    </row>
    <row r="441" spans="1:31" x14ac:dyDescent="0.2">
      <c r="A441" s="347">
        <v>45709</v>
      </c>
      <c r="B441" s="364">
        <f t="shared" si="180"/>
        <v>45.709000000000003</v>
      </c>
      <c r="C441" s="337">
        <f t="shared" si="161"/>
        <v>90.720578155573989</v>
      </c>
      <c r="D441" s="338">
        <f t="shared" si="162"/>
        <v>1.5597732461223202</v>
      </c>
      <c r="E441" s="338">
        <f t="shared" si="163"/>
        <v>1.0023726886145063</v>
      </c>
      <c r="F441" s="339">
        <f t="shared" si="164"/>
        <v>6.8818699747659418E-2</v>
      </c>
      <c r="G441" s="338">
        <f t="shared" si="165"/>
        <v>1</v>
      </c>
      <c r="H441" s="339">
        <f t="shared" si="166"/>
        <v>0</v>
      </c>
      <c r="I441" s="337">
        <f t="shared" si="167"/>
        <v>8647.0723936461818</v>
      </c>
      <c r="J441" s="340">
        <f t="shared" si="168"/>
        <v>1.5706806807176226</v>
      </c>
      <c r="K441" s="348">
        <f t="shared" si="184"/>
        <v>8.2140784750700746</v>
      </c>
      <c r="L441" s="349">
        <f t="shared" si="185"/>
        <v>1.4487513744804419</v>
      </c>
      <c r="M441" s="337">
        <f t="shared" si="169"/>
        <v>1.0060792389869235</v>
      </c>
      <c r="N441" s="340">
        <f t="shared" si="170"/>
        <v>0.10998727462751579</v>
      </c>
      <c r="O441" s="341">
        <f t="shared" si="171"/>
        <v>0.99947882358971007</v>
      </c>
      <c r="P441" s="342">
        <f t="shared" si="172"/>
        <v>5.6024359231955791E-2</v>
      </c>
      <c r="Q441" s="343">
        <f t="shared" si="173"/>
        <v>2.4033042256556301</v>
      </c>
      <c r="R441" s="344">
        <f t="shared" si="174"/>
        <v>-101.92320368614187</v>
      </c>
      <c r="S441" s="346">
        <f t="shared" si="175"/>
        <v>78.076796313858125</v>
      </c>
      <c r="U441" s="319">
        <f t="shared" si="181"/>
        <v>1000000000</v>
      </c>
      <c r="V441" s="319">
        <f t="shared" si="182"/>
        <v>2089312681</v>
      </c>
      <c r="X441" s="345">
        <f t="shared" si="176"/>
        <v>37.208375711948385</v>
      </c>
      <c r="Y441" s="346">
        <f t="shared" si="177"/>
        <v>-13.28784129783514</v>
      </c>
      <c r="AA441" s="345">
        <f t="shared" si="178"/>
        <v>21.992975526624008</v>
      </c>
      <c r="AB441" s="346">
        <f t="shared" si="179"/>
        <v>-88.63536238830676</v>
      </c>
      <c r="AD441">
        <f t="shared" si="183"/>
        <v>0</v>
      </c>
      <c r="AE441">
        <f t="shared" si="186"/>
        <v>0</v>
      </c>
    </row>
    <row r="442" spans="1:31" x14ac:dyDescent="0.2">
      <c r="A442" s="347">
        <v>45975.25</v>
      </c>
      <c r="B442" s="364">
        <f t="shared" si="180"/>
        <v>45.975250000000003</v>
      </c>
      <c r="C442" s="337">
        <f t="shared" si="161"/>
        <v>91.248951727412205</v>
      </c>
      <c r="D442" s="338">
        <f t="shared" si="162"/>
        <v>1.5598370774131354</v>
      </c>
      <c r="E442" s="338">
        <f t="shared" si="163"/>
        <v>1.002400377237203</v>
      </c>
      <c r="F442" s="339">
        <f t="shared" si="164"/>
        <v>6.9218285772820951E-2</v>
      </c>
      <c r="G442" s="338">
        <f t="shared" si="165"/>
        <v>1</v>
      </c>
      <c r="H442" s="339">
        <f t="shared" si="166"/>
        <v>0</v>
      </c>
      <c r="I442" s="337">
        <f t="shared" si="167"/>
        <v>8697.4406579728275</v>
      </c>
      <c r="J442" s="340">
        <f t="shared" si="168"/>
        <v>1.5706813504424812</v>
      </c>
      <c r="K442" s="348">
        <f t="shared" si="184"/>
        <v>8.2612174850355355</v>
      </c>
      <c r="L442" s="349">
        <f t="shared" si="185"/>
        <v>1.4494512187535611</v>
      </c>
      <c r="M442" s="337">
        <f t="shared" si="169"/>
        <v>1.0061500499900846</v>
      </c>
      <c r="N442" s="340">
        <f t="shared" si="170"/>
        <v>0.11062273962716711</v>
      </c>
      <c r="O442" s="341">
        <f t="shared" si="171"/>
        <v>0.99947275852006423</v>
      </c>
      <c r="P442" s="342">
        <f t="shared" si="172"/>
        <v>5.6351382257922536E-2</v>
      </c>
      <c r="Q442" s="343">
        <f t="shared" si="173"/>
        <v>2.3518006203729072</v>
      </c>
      <c r="R442" s="344">
        <f t="shared" si="174"/>
        <v>-101.91905310784908</v>
      </c>
      <c r="S442" s="346">
        <f t="shared" si="175"/>
        <v>78.080946892150919</v>
      </c>
      <c r="U442" s="319">
        <f t="shared" si="181"/>
        <v>1000000000</v>
      </c>
      <c r="V442" s="319">
        <f t="shared" si="182"/>
        <v>2113723612.5625</v>
      </c>
      <c r="X442" s="345">
        <f t="shared" si="176"/>
        <v>37.207020964297882</v>
      </c>
      <c r="Y442" s="346">
        <f t="shared" si="177"/>
        <v>-13.284191009580983</v>
      </c>
      <c r="AA442" s="345">
        <f t="shared" si="178"/>
        <v>21.942826668991785</v>
      </c>
      <c r="AB442" s="346">
        <f t="shared" si="179"/>
        <v>-88.634862098268087</v>
      </c>
      <c r="AD442">
        <f t="shared" si="183"/>
        <v>0</v>
      </c>
      <c r="AE442">
        <f t="shared" si="186"/>
        <v>0</v>
      </c>
    </row>
    <row r="443" spans="1:31" x14ac:dyDescent="0.2">
      <c r="A443" s="347">
        <v>46241.5</v>
      </c>
      <c r="B443" s="364">
        <f t="shared" si="180"/>
        <v>46.241500000000002</v>
      </c>
      <c r="C443" s="337">
        <f t="shared" si="161"/>
        <v>91.777325666757321</v>
      </c>
      <c r="D443" s="338">
        <f t="shared" si="162"/>
        <v>1.5599001737342042</v>
      </c>
      <c r="E443" s="338">
        <f t="shared" si="163"/>
        <v>1.0024282259033002</v>
      </c>
      <c r="F443" s="339">
        <f t="shared" si="164"/>
        <v>6.9617849659813269E-2</v>
      </c>
      <c r="G443" s="338">
        <f t="shared" si="165"/>
        <v>1</v>
      </c>
      <c r="H443" s="339">
        <f t="shared" si="166"/>
        <v>0</v>
      </c>
      <c r="I443" s="337">
        <f t="shared" si="167"/>
        <v>8747.8089223033312</v>
      </c>
      <c r="J443" s="340">
        <f t="shared" si="168"/>
        <v>1.5706820124550362</v>
      </c>
      <c r="K443" s="348">
        <f t="shared" si="184"/>
        <v>8.3083604952818533</v>
      </c>
      <c r="L443" s="349">
        <f t="shared" si="185"/>
        <v>1.4501431212982816</v>
      </c>
      <c r="M443" s="337">
        <f t="shared" si="169"/>
        <v>1.0062212672352175</v>
      </c>
      <c r="N443" s="340">
        <f t="shared" si="170"/>
        <v>0.11125811493084813</v>
      </c>
      <c r="O443" s="341">
        <f t="shared" si="171"/>
        <v>0.99946665878892416</v>
      </c>
      <c r="P443" s="342">
        <f t="shared" si="172"/>
        <v>5.6678417253609406E-2</v>
      </c>
      <c r="Q443" s="343">
        <f t="shared" si="173"/>
        <v>2.300599116776862</v>
      </c>
      <c r="R443" s="344">
        <f t="shared" si="174"/>
        <v>-101.91531181956658</v>
      </c>
      <c r="S443" s="346">
        <f t="shared" si="175"/>
        <v>78.084688180433417</v>
      </c>
      <c r="U443" s="319">
        <f t="shared" si="181"/>
        <v>1000000000</v>
      </c>
      <c r="V443" s="319">
        <f t="shared" si="182"/>
        <v>2138276322.25</v>
      </c>
      <c r="X443" s="345">
        <f t="shared" si="176"/>
        <v>37.20567543347493</v>
      </c>
      <c r="Y443" s="346">
        <f t="shared" si="177"/>
        <v>-13.280990167763626</v>
      </c>
      <c r="AA443" s="345">
        <f t="shared" si="178"/>
        <v>21.892970696218693</v>
      </c>
      <c r="AB443" s="346">
        <f t="shared" si="179"/>
        <v>-88.634321651802964</v>
      </c>
      <c r="AD443">
        <f t="shared" si="183"/>
        <v>0</v>
      </c>
      <c r="AE443">
        <f t="shared" si="186"/>
        <v>0</v>
      </c>
    </row>
    <row r="444" spans="1:31" x14ac:dyDescent="0.2">
      <c r="A444" s="347">
        <v>46507.75</v>
      </c>
      <c r="B444" s="364">
        <f t="shared" si="180"/>
        <v>46.507750000000001</v>
      </c>
      <c r="C444" s="337">
        <f t="shared" si="161"/>
        <v>92.305699967298395</v>
      </c>
      <c r="D444" s="338">
        <f t="shared" si="162"/>
        <v>1.5599625477063133</v>
      </c>
      <c r="E444" s="338">
        <f t="shared" si="163"/>
        <v>1.0024562345994597</v>
      </c>
      <c r="F444" s="339">
        <f t="shared" si="164"/>
        <v>7.0017391282904989E-2</v>
      </c>
      <c r="G444" s="338">
        <f t="shared" si="165"/>
        <v>1</v>
      </c>
      <c r="H444" s="339">
        <f t="shared" si="166"/>
        <v>0</v>
      </c>
      <c r="I444" s="337">
        <f t="shared" si="167"/>
        <v>8798.1771866376221</v>
      </c>
      <c r="J444" s="340">
        <f t="shared" si="168"/>
        <v>1.5706826668877432</v>
      </c>
      <c r="K444" s="348">
        <f t="shared" si="184"/>
        <v>8.3555074380985008</v>
      </c>
      <c r="L444" s="349">
        <f t="shared" si="185"/>
        <v>1.450827215882901</v>
      </c>
      <c r="M444" s="337">
        <f t="shared" si="169"/>
        <v>1.0062928906360713</v>
      </c>
      <c r="N444" s="340">
        <f t="shared" si="170"/>
        <v>0.11189340004465313</v>
      </c>
      <c r="O444" s="341">
        <f t="shared" si="171"/>
        <v>0.99946052440610433</v>
      </c>
      <c r="P444" s="342">
        <f t="shared" si="172"/>
        <v>5.7005464288232964E-2</v>
      </c>
      <c r="Q444" s="343">
        <f t="shared" si="173"/>
        <v>2.2496960873659018</v>
      </c>
      <c r="R444" s="344">
        <f t="shared" si="174"/>
        <v>-101.91197287051349</v>
      </c>
      <c r="S444" s="346">
        <f t="shared" si="175"/>
        <v>78.088027129486505</v>
      </c>
      <c r="U444" s="319">
        <f t="shared" si="181"/>
        <v>1000000000</v>
      </c>
      <c r="V444" s="319">
        <f t="shared" si="182"/>
        <v>2162970810.0625</v>
      </c>
      <c r="X444" s="345">
        <f t="shared" si="176"/>
        <v>37.204338834886848</v>
      </c>
      <c r="Y444" s="346">
        <f t="shared" si="177"/>
        <v>-13.278231087314635</v>
      </c>
      <c r="AA444" s="345">
        <f t="shared" si="178"/>
        <v>21.843404265395815</v>
      </c>
      <c r="AB444" s="346">
        <f t="shared" si="179"/>
        <v>-88.633741783198843</v>
      </c>
      <c r="AD444">
        <f t="shared" si="183"/>
        <v>0</v>
      </c>
      <c r="AE444">
        <f t="shared" si="186"/>
        <v>0</v>
      </c>
    </row>
    <row r="445" spans="1:31" x14ac:dyDescent="0.2">
      <c r="A445" s="347">
        <v>46774</v>
      </c>
      <c r="B445" s="364">
        <f t="shared" si="180"/>
        <v>46.774000000000001</v>
      </c>
      <c r="C445" s="337">
        <f t="shared" si="161"/>
        <v>92.83407462286803</v>
      </c>
      <c r="D445" s="338">
        <f t="shared" si="162"/>
        <v>1.5600242116629432</v>
      </c>
      <c r="E445" s="338">
        <f t="shared" si="163"/>
        <v>1.0024844033122682</v>
      </c>
      <c r="F445" s="339">
        <f t="shared" si="164"/>
        <v>7.0416910516407138E-2</v>
      </c>
      <c r="G445" s="338">
        <f t="shared" si="165"/>
        <v>1</v>
      </c>
      <c r="H445" s="339">
        <f t="shared" si="166"/>
        <v>0</v>
      </c>
      <c r="I445" s="337">
        <f t="shared" si="167"/>
        <v>8848.5454509756401</v>
      </c>
      <c r="J445" s="340">
        <f t="shared" si="168"/>
        <v>1.5706833138700413</v>
      </c>
      <c r="K445" s="348">
        <f t="shared" si="184"/>
        <v>8.402658247289045</v>
      </c>
      <c r="L445" s="349">
        <f t="shared" si="185"/>
        <v>1.4515036333028082</v>
      </c>
      <c r="M445" s="337">
        <f t="shared" si="169"/>
        <v>1.0063649201059266</v>
      </c>
      <c r="N445" s="340">
        <f t="shared" si="170"/>
        <v>0.11252859447510784</v>
      </c>
      <c r="O445" s="341">
        <f t="shared" si="171"/>
        <v>0.99945435538147531</v>
      </c>
      <c r="P445" s="342">
        <f t="shared" si="172"/>
        <v>5.7332523431008017E-2</v>
      </c>
      <c r="Q445" s="343">
        <f t="shared" si="173"/>
        <v>2.1990879698652934</v>
      </c>
      <c r="R445" s="344">
        <f t="shared" si="174"/>
        <v>-101.90902946363185</v>
      </c>
      <c r="S445" s="346">
        <f t="shared" si="175"/>
        <v>78.090970536368147</v>
      </c>
      <c r="U445" s="319">
        <f t="shared" si="181"/>
        <v>1000000000</v>
      </c>
      <c r="V445" s="319">
        <f t="shared" si="182"/>
        <v>2187807076</v>
      </c>
      <c r="X445" s="345">
        <f t="shared" si="176"/>
        <v>37.203010891952111</v>
      </c>
      <c r="Y445" s="346">
        <f t="shared" si="177"/>
        <v>-13.275906253352534</v>
      </c>
      <c r="AA445" s="345">
        <f t="shared" si="178"/>
        <v>21.794124090829946</v>
      </c>
      <c r="AB445" s="346">
        <f t="shared" si="179"/>
        <v>-88.633123210279322</v>
      </c>
      <c r="AD445">
        <f t="shared" si="183"/>
        <v>0</v>
      </c>
      <c r="AE445">
        <f t="shared" si="186"/>
        <v>0</v>
      </c>
    </row>
    <row r="446" spans="1:31" x14ac:dyDescent="0.2">
      <c r="A446" s="347">
        <v>47046.25</v>
      </c>
      <c r="B446" s="364">
        <f t="shared" si="180"/>
        <v>47.046250000000001</v>
      </c>
      <c r="C446" s="337">
        <f t="shared" si="161"/>
        <v>93.374356673770038</v>
      </c>
      <c r="D446" s="338">
        <f t="shared" si="162"/>
        <v>1.5600865435904381</v>
      </c>
      <c r="E446" s="338">
        <f t="shared" si="163"/>
        <v>1.0025133722652115</v>
      </c>
      <c r="F446" s="339">
        <f t="shared" si="164"/>
        <v>7.0825409717234708E-2</v>
      </c>
      <c r="G446" s="338">
        <f t="shared" si="165"/>
        <v>1</v>
      </c>
      <c r="H446" s="339">
        <f t="shared" si="166"/>
        <v>0</v>
      </c>
      <c r="I446" s="337">
        <f t="shared" si="167"/>
        <v>8900.0487747954849</v>
      </c>
      <c r="J446" s="340">
        <f t="shared" si="168"/>
        <v>1.5706839678598608</v>
      </c>
      <c r="K446" s="348">
        <f t="shared" si="184"/>
        <v>8.4508755405532323</v>
      </c>
      <c r="L446" s="349">
        <f t="shared" si="185"/>
        <v>1.4521874885454222</v>
      </c>
      <c r="M446" s="337">
        <f t="shared" si="169"/>
        <v>1.006438992582654</v>
      </c>
      <c r="N446" s="340">
        <f t="shared" si="170"/>
        <v>0.11317800886086046</v>
      </c>
      <c r="O446" s="341">
        <f t="shared" si="171"/>
        <v>0.99944801152532081</v>
      </c>
      <c r="P446" s="342">
        <f t="shared" si="172"/>
        <v>5.7666965513285824E-2</v>
      </c>
      <c r="Q446" s="343">
        <f t="shared" si="173"/>
        <v>2.1476406988185941</v>
      </c>
      <c r="R446" s="344">
        <f t="shared" si="174"/>
        <v>-101.90642181478299</v>
      </c>
      <c r="S446" s="346">
        <f t="shared" si="175"/>
        <v>78.093578185217012</v>
      </c>
      <c r="U446" s="319">
        <f t="shared" si="181"/>
        <v>1000000000</v>
      </c>
      <c r="V446" s="319">
        <f t="shared" si="182"/>
        <v>2213349639.0625</v>
      </c>
      <c r="X446" s="345">
        <f t="shared" si="176"/>
        <v>37.201661693942746</v>
      </c>
      <c r="Y446" s="346">
        <f t="shared" si="177"/>
        <v>-13.273970408465852</v>
      </c>
      <c r="AA446" s="345">
        <f t="shared" si="178"/>
        <v>21.744026017792606</v>
      </c>
      <c r="AB446" s="346">
        <f t="shared" si="179"/>
        <v>-88.632451406317116</v>
      </c>
      <c r="AD446">
        <f t="shared" si="183"/>
        <v>0</v>
      </c>
      <c r="AE446">
        <f t="shared" si="186"/>
        <v>0</v>
      </c>
    </row>
    <row r="447" spans="1:31" x14ac:dyDescent="0.2">
      <c r="A447" s="347">
        <v>47318.5</v>
      </c>
      <c r="B447" s="364">
        <f t="shared" si="180"/>
        <v>47.3185</v>
      </c>
      <c r="C447" s="337">
        <f t="shared" si="161"/>
        <v>93.91463908328241</v>
      </c>
      <c r="D447" s="338">
        <f t="shared" si="162"/>
        <v>1.5601481583383074</v>
      </c>
      <c r="E447" s="338">
        <f t="shared" si="163"/>
        <v>1.0025425084994783</v>
      </c>
      <c r="F447" s="339">
        <f t="shared" si="164"/>
        <v>7.1233885242334163E-2</v>
      </c>
      <c r="G447" s="338">
        <f t="shared" si="165"/>
        <v>1</v>
      </c>
      <c r="H447" s="339">
        <f t="shared" si="166"/>
        <v>0</v>
      </c>
      <c r="I447" s="337">
        <f t="shared" si="167"/>
        <v>8951.5520986190913</v>
      </c>
      <c r="J447" s="340">
        <f t="shared" si="168"/>
        <v>1.570684614324136</v>
      </c>
      <c r="K447" s="348">
        <f t="shared" si="184"/>
        <v>8.4990967410933127</v>
      </c>
      <c r="L447" s="349">
        <f t="shared" si="185"/>
        <v>1.4528635841423123</v>
      </c>
      <c r="M447" s="337">
        <f t="shared" si="169"/>
        <v>1.006513489451422</v>
      </c>
      <c r="N447" s="340">
        <f t="shared" si="170"/>
        <v>0.11382732738790398</v>
      </c>
      <c r="O447" s="341">
        <f t="shared" si="171"/>
        <v>0.99944163146950105</v>
      </c>
      <c r="P447" s="342">
        <f t="shared" si="172"/>
        <v>5.8001420401947522E-2</v>
      </c>
      <c r="Q447" s="343">
        <f t="shared" si="173"/>
        <v>2.0964944500888807</v>
      </c>
      <c r="R447" s="344">
        <f t="shared" si="174"/>
        <v>-101.90421383630898</v>
      </c>
      <c r="S447" s="346">
        <f t="shared" si="175"/>
        <v>78.095786163691017</v>
      </c>
      <c r="U447" s="319">
        <f t="shared" si="181"/>
        <v>1000000000</v>
      </c>
      <c r="V447" s="319">
        <f t="shared" si="182"/>
        <v>2239040442.25</v>
      </c>
      <c r="X447" s="345">
        <f t="shared" si="176"/>
        <v>37.200320985704629</v>
      </c>
      <c r="Y447" s="346">
        <f t="shared" si="177"/>
        <v>-13.272473235048782</v>
      </c>
      <c r="AA447" s="345">
        <f t="shared" si="178"/>
        <v>21.694220477301016</v>
      </c>
      <c r="AB447" s="346">
        <f t="shared" si="179"/>
        <v>-88.631740601260219</v>
      </c>
      <c r="AD447">
        <f t="shared" si="183"/>
        <v>0</v>
      </c>
      <c r="AE447">
        <f t="shared" si="186"/>
        <v>0</v>
      </c>
    </row>
    <row r="448" spans="1:31" x14ac:dyDescent="0.2">
      <c r="A448" s="347">
        <v>47590.75</v>
      </c>
      <c r="B448" s="364">
        <f t="shared" si="180"/>
        <v>47.59075</v>
      </c>
      <c r="C448" s="337">
        <f t="shared" si="161"/>
        <v>94.454921845251405</v>
      </c>
      <c r="D448" s="338">
        <f t="shared" si="162"/>
        <v>1.5602090682128957</v>
      </c>
      <c r="E448" s="338">
        <f t="shared" si="163"/>
        <v>1.0025718120004841</v>
      </c>
      <c r="F448" s="339">
        <f t="shared" si="164"/>
        <v>7.1642336957465483E-2</v>
      </c>
      <c r="G448" s="338">
        <f t="shared" si="165"/>
        <v>1</v>
      </c>
      <c r="H448" s="339">
        <f t="shared" si="166"/>
        <v>0</v>
      </c>
      <c r="I448" s="337">
        <f t="shared" si="167"/>
        <v>9003.055422446394</v>
      </c>
      <c r="J448" s="340">
        <f t="shared" si="168"/>
        <v>1.5706852533920201</v>
      </c>
      <c r="K448" s="348">
        <f t="shared" si="184"/>
        <v>8.547321782778555</v>
      </c>
      <c r="L448" s="349">
        <f t="shared" si="185"/>
        <v>1.4535320508127234</v>
      </c>
      <c r="M448" s="337">
        <f t="shared" si="169"/>
        <v>1.0065884106180041</v>
      </c>
      <c r="N448" s="340">
        <f t="shared" si="170"/>
        <v>0.11447654953005845</v>
      </c>
      <c r="O448" s="341">
        <f t="shared" si="171"/>
        <v>0.99943521522475431</v>
      </c>
      <c r="P448" s="342">
        <f t="shared" si="172"/>
        <v>5.8335888170987477E-2</v>
      </c>
      <c r="Q448" s="343">
        <f t="shared" si="173"/>
        <v>2.0456456166305994</v>
      </c>
      <c r="R448" s="344">
        <f t="shared" si="174"/>
        <v>-101.9023987328335</v>
      </c>
      <c r="S448" s="346">
        <f t="shared" si="175"/>
        <v>78.097601267166496</v>
      </c>
      <c r="U448" s="319">
        <f t="shared" si="181"/>
        <v>1000000000</v>
      </c>
      <c r="V448" s="319">
        <f t="shared" si="182"/>
        <v>2264879485.5625</v>
      </c>
      <c r="X448" s="345">
        <f t="shared" si="176"/>
        <v>37.198988495817503</v>
      </c>
      <c r="Y448" s="346">
        <f t="shared" si="177"/>
        <v>-13.271407220692318</v>
      </c>
      <c r="AA448" s="345">
        <f t="shared" si="178"/>
        <v>21.644704133729856</v>
      </c>
      <c r="AB448" s="346">
        <f t="shared" si="179"/>
        <v>-88.630991512141193</v>
      </c>
      <c r="AD448">
        <f t="shared" si="183"/>
        <v>0</v>
      </c>
      <c r="AE448">
        <f t="shared" si="186"/>
        <v>0</v>
      </c>
    </row>
    <row r="449" spans="1:31" x14ac:dyDescent="0.2">
      <c r="A449" s="347">
        <v>47863</v>
      </c>
      <c r="B449" s="364">
        <f t="shared" si="180"/>
        <v>47.863</v>
      </c>
      <c r="C449" s="337">
        <f t="shared" si="161"/>
        <v>94.995204953663261</v>
      </c>
      <c r="D449" s="338">
        <f t="shared" si="162"/>
        <v>1.5602692852406004</v>
      </c>
      <c r="E449" s="338">
        <f t="shared" si="163"/>
        <v>1.0026012827535622</v>
      </c>
      <c r="F449" s="339">
        <f t="shared" si="164"/>
        <v>7.205076472843612E-2</v>
      </c>
      <c r="G449" s="338">
        <f t="shared" si="165"/>
        <v>1</v>
      </c>
      <c r="H449" s="339">
        <f t="shared" si="166"/>
        <v>0</v>
      </c>
      <c r="I449" s="337">
        <f t="shared" si="167"/>
        <v>9054.5587462773346</v>
      </c>
      <c r="J449" s="340">
        <f t="shared" si="168"/>
        <v>1.5706858851897278</v>
      </c>
      <c r="K449" s="348">
        <f t="shared" si="184"/>
        <v>8.5955506009571216</v>
      </c>
      <c r="L449" s="349">
        <f t="shared" si="185"/>
        <v>1.4541930163697112</v>
      </c>
      <c r="M449" s="337">
        <f t="shared" si="169"/>
        <v>1.0066637559876643</v>
      </c>
      <c r="N449" s="340">
        <f t="shared" si="170"/>
        <v>0.11512567476162519</v>
      </c>
      <c r="O449" s="341">
        <f t="shared" si="171"/>
        <v>0.99942876280188142</v>
      </c>
      <c r="P449" s="342">
        <f t="shared" si="172"/>
        <v>5.8670368894398028E-2</v>
      </c>
      <c r="Q449" s="343">
        <f t="shared" si="173"/>
        <v>1.9950906560943991</v>
      </c>
      <c r="R449" s="344">
        <f t="shared" si="174"/>
        <v>-101.900969859309</v>
      </c>
      <c r="S449" s="346">
        <f t="shared" si="175"/>
        <v>78.099030140690999</v>
      </c>
      <c r="U449" s="319">
        <f t="shared" si="181"/>
        <v>1000000000</v>
      </c>
      <c r="V449" s="319">
        <f t="shared" si="182"/>
        <v>2290866769</v>
      </c>
      <c r="X449" s="345">
        <f t="shared" si="176"/>
        <v>37.197663960507555</v>
      </c>
      <c r="Y449" s="346">
        <f t="shared" si="177"/>
        <v>-13.270765019359056</v>
      </c>
      <c r="AA449" s="345">
        <f t="shared" si="178"/>
        <v>21.595473708503601</v>
      </c>
      <c r="AB449" s="346">
        <f t="shared" si="179"/>
        <v>-88.63020483994994</v>
      </c>
      <c r="AD449">
        <f t="shared" si="183"/>
        <v>0</v>
      </c>
      <c r="AE449">
        <f t="shared" si="186"/>
        <v>0</v>
      </c>
    </row>
    <row r="450" spans="1:31" x14ac:dyDescent="0.2">
      <c r="A450" s="347">
        <v>48141.75</v>
      </c>
      <c r="B450" s="364">
        <f t="shared" si="180"/>
        <v>48.141750000000002</v>
      </c>
      <c r="C450" s="337">
        <f t="shared" si="161"/>
        <v>95.548387736115529</v>
      </c>
      <c r="D450" s="338">
        <f t="shared" si="162"/>
        <v>1.5603302343736383</v>
      </c>
      <c r="E450" s="338">
        <f t="shared" si="163"/>
        <v>1.0026316303983351</v>
      </c>
      <c r="F450" s="339">
        <f t="shared" si="164"/>
        <v>7.2468918810737332E-2</v>
      </c>
      <c r="G450" s="338">
        <f t="shared" si="165"/>
        <v>1</v>
      </c>
      <c r="H450" s="339">
        <f t="shared" si="166"/>
        <v>0</v>
      </c>
      <c r="I450" s="337">
        <f t="shared" si="167"/>
        <v>9107.291717880209</v>
      </c>
      <c r="J450" s="340">
        <f t="shared" si="168"/>
        <v>1.5706865246678772</v>
      </c>
      <c r="K450" s="348">
        <f t="shared" si="184"/>
        <v>8.6449347345133205</v>
      </c>
      <c r="L450" s="349">
        <f t="shared" si="185"/>
        <v>1.454862121180917</v>
      </c>
      <c r="M450" s="337">
        <f t="shared" si="169"/>
        <v>1.0067413396530307</v>
      </c>
      <c r="N450" s="340">
        <f t="shared" si="170"/>
        <v>0.11579019697526761</v>
      </c>
      <c r="O450" s="341">
        <f t="shared" si="171"/>
        <v>0.99942211885394439</v>
      </c>
      <c r="P450" s="342">
        <f t="shared" si="172"/>
        <v>5.9012848882737702E-2</v>
      </c>
      <c r="Q450" s="343">
        <f t="shared" si="173"/>
        <v>1.9436295380315427</v>
      </c>
      <c r="R450" s="344">
        <f t="shared" si="174"/>
        <v>-101.89990025709284</v>
      </c>
      <c r="S450" s="346">
        <f t="shared" si="175"/>
        <v>78.100099742907162</v>
      </c>
      <c r="U450" s="319">
        <f t="shared" si="181"/>
        <v>1000000000</v>
      </c>
      <c r="V450" s="319">
        <f t="shared" si="182"/>
        <v>2317628093.0625</v>
      </c>
      <c r="X450" s="345">
        <f t="shared" si="176"/>
        <v>37.196315775778267</v>
      </c>
      <c r="Y450" s="346">
        <f t="shared" si="177"/>
        <v>-13.270539095258266</v>
      </c>
      <c r="AA450" s="345">
        <f t="shared" si="178"/>
        <v>21.545360775170042</v>
      </c>
      <c r="AB450" s="346">
        <f t="shared" si="179"/>
        <v>-88.629361161834566</v>
      </c>
      <c r="AD450">
        <f t="shared" si="183"/>
        <v>0</v>
      </c>
      <c r="AE450">
        <f t="shared" si="186"/>
        <v>0</v>
      </c>
    </row>
    <row r="451" spans="1:31" x14ac:dyDescent="0.2">
      <c r="A451" s="347">
        <v>48420.5</v>
      </c>
      <c r="B451" s="364">
        <f t="shared" si="180"/>
        <v>48.420499999999997</v>
      </c>
      <c r="C451" s="337">
        <f t="shared" si="161"/>
        <v>96.101570869424378</v>
      </c>
      <c r="D451" s="338">
        <f t="shared" si="162"/>
        <v>1.5603904818319496</v>
      </c>
      <c r="E451" s="338">
        <f t="shared" si="163"/>
        <v>1.0026621533454623</v>
      </c>
      <c r="F451" s="339">
        <f t="shared" si="164"/>
        <v>7.2887047507331201E-2</v>
      </c>
      <c r="G451" s="338">
        <f t="shared" si="165"/>
        <v>1</v>
      </c>
      <c r="H451" s="339">
        <f t="shared" si="166"/>
        <v>0</v>
      </c>
      <c r="I451" s="337">
        <f t="shared" si="167"/>
        <v>9160.0246894867632</v>
      </c>
      <c r="J451" s="340">
        <f t="shared" si="168"/>
        <v>1.5706871567832552</v>
      </c>
      <c r="K451" s="348">
        <f t="shared" si="184"/>
        <v>8.6943226944490934</v>
      </c>
      <c r="L451" s="349">
        <f t="shared" si="185"/>
        <v>1.4555236246072898</v>
      </c>
      <c r="M451" s="337">
        <f t="shared" si="169"/>
        <v>1.0068193678164465</v>
      </c>
      <c r="N451" s="340">
        <f t="shared" si="170"/>
        <v>0.11645461648177564</v>
      </c>
      <c r="O451" s="341">
        <f t="shared" si="171"/>
        <v>0.99941543700286062</v>
      </c>
      <c r="P451" s="342">
        <f t="shared" si="172"/>
        <v>5.9355342608387075E-2</v>
      </c>
      <c r="Q451" s="343">
        <f t="shared" si="173"/>
        <v>1.8924691783888317</v>
      </c>
      <c r="R451" s="344">
        <f t="shared" si="174"/>
        <v>-101.89922191418874</v>
      </c>
      <c r="S451" s="346">
        <f t="shared" si="175"/>
        <v>78.100778085811257</v>
      </c>
      <c r="U451" s="319">
        <f t="shared" si="181"/>
        <v>1000000000</v>
      </c>
      <c r="V451" s="319">
        <f t="shared" si="182"/>
        <v>2344544820.25</v>
      </c>
      <c r="X451" s="345">
        <f t="shared" si="176"/>
        <v>37.194975393826297</v>
      </c>
      <c r="Y451" s="346">
        <f t="shared" si="177"/>
        <v>-13.270742391886293</v>
      </c>
      <c r="AA451" s="345">
        <f t="shared" si="178"/>
        <v>21.495540797479293</v>
      </c>
      <c r="AB451" s="346">
        <f t="shared" si="179"/>
        <v>-88.62847952230247</v>
      </c>
      <c r="AD451">
        <f t="shared" si="183"/>
        <v>0</v>
      </c>
      <c r="AE451">
        <f t="shared" si="186"/>
        <v>0</v>
      </c>
    </row>
    <row r="452" spans="1:31" x14ac:dyDescent="0.2">
      <c r="A452" s="347">
        <v>48699.25</v>
      </c>
      <c r="B452" s="364">
        <f t="shared" si="180"/>
        <v>48.699249999999999</v>
      </c>
      <c r="C452" s="337">
        <f t="shared" si="161"/>
        <v>96.654754347565643</v>
      </c>
      <c r="D452" s="338">
        <f t="shared" si="162"/>
        <v>1.5604500396627634</v>
      </c>
      <c r="E452" s="338">
        <f t="shared" si="163"/>
        <v>1.0026928515789346</v>
      </c>
      <c r="F452" s="339">
        <f t="shared" si="164"/>
        <v>7.3305150674338501E-2</v>
      </c>
      <c r="G452" s="338">
        <f t="shared" si="165"/>
        <v>1</v>
      </c>
      <c r="H452" s="339">
        <f t="shared" si="166"/>
        <v>0</v>
      </c>
      <c r="I452" s="337">
        <f t="shared" si="167"/>
        <v>9212.7576610969372</v>
      </c>
      <c r="J452" s="340">
        <f t="shared" si="168"/>
        <v>1.5706877816622935</v>
      </c>
      <c r="K452" s="348">
        <f t="shared" si="184"/>
        <v>8.743714415925723</v>
      </c>
      <c r="L452" s="349">
        <f t="shared" si="185"/>
        <v>1.4561776548816387</v>
      </c>
      <c r="M452" s="337">
        <f t="shared" si="169"/>
        <v>1.0068978403745747</v>
      </c>
      <c r="N452" s="340">
        <f t="shared" si="170"/>
        <v>0.11711893271847484</v>
      </c>
      <c r="O452" s="341">
        <f t="shared" si="171"/>
        <v>0.99940871726042635</v>
      </c>
      <c r="P452" s="342">
        <f t="shared" si="172"/>
        <v>5.969785015075902E-2</v>
      </c>
      <c r="Q452" s="343">
        <f t="shared" si="173"/>
        <v>1.8416059758169989</v>
      </c>
      <c r="R452" s="344">
        <f t="shared" si="174"/>
        <v>-101.89892816145225</v>
      </c>
      <c r="S452" s="346">
        <f t="shared" si="175"/>
        <v>78.101071838547753</v>
      </c>
      <c r="U452" s="319">
        <f t="shared" si="181"/>
        <v>1000000000</v>
      </c>
      <c r="V452" s="319">
        <f t="shared" si="182"/>
        <v>2371616950.5625</v>
      </c>
      <c r="X452" s="345">
        <f t="shared" si="176"/>
        <v>37.193642554815057</v>
      </c>
      <c r="Y452" s="346">
        <f t="shared" si="177"/>
        <v>-13.27136753704951</v>
      </c>
      <c r="AA452" s="345">
        <f t="shared" si="178"/>
        <v>21.446010433918698</v>
      </c>
      <c r="AB452" s="346">
        <f t="shared" si="179"/>
        <v>-88.627560624402747</v>
      </c>
      <c r="AD452">
        <f t="shared" si="183"/>
        <v>0</v>
      </c>
      <c r="AE452">
        <f t="shared" si="186"/>
        <v>0</v>
      </c>
    </row>
    <row r="453" spans="1:31" x14ac:dyDescent="0.2">
      <c r="A453" s="347">
        <v>48978</v>
      </c>
      <c r="B453" s="364">
        <f t="shared" si="180"/>
        <v>48.978000000000002</v>
      </c>
      <c r="C453" s="337">
        <f t="shared" si="161"/>
        <v>97.20793816465229</v>
      </c>
      <c r="D453" s="338">
        <f t="shared" si="162"/>
        <v>1.5605089196390982</v>
      </c>
      <c r="E453" s="338">
        <f t="shared" si="163"/>
        <v>1.0027237250826531</v>
      </c>
      <c r="F453" s="339">
        <f t="shared" si="164"/>
        <v>7.3723228167933322E-2</v>
      </c>
      <c r="G453" s="338">
        <f t="shared" si="165"/>
        <v>1</v>
      </c>
      <c r="H453" s="339">
        <f t="shared" si="166"/>
        <v>0</v>
      </c>
      <c r="I453" s="337">
        <f t="shared" si="167"/>
        <v>9265.4906327106655</v>
      </c>
      <c r="J453" s="340">
        <f t="shared" si="168"/>
        <v>1.5706883994285452</v>
      </c>
      <c r="K453" s="348">
        <f t="shared" si="184"/>
        <v>8.7931098355564288</v>
      </c>
      <c r="L453" s="349">
        <f t="shared" si="185"/>
        <v>1.4568243373812795</v>
      </c>
      <c r="M453" s="337">
        <f t="shared" si="169"/>
        <v>1.0069767572235215</v>
      </c>
      <c r="N453" s="340">
        <f t="shared" si="170"/>
        <v>0.11778314512323033</v>
      </c>
      <c r="O453" s="341">
        <f t="shared" si="171"/>
        <v>0.99940195963850609</v>
      </c>
      <c r="P453" s="342">
        <f t="shared" si="172"/>
        <v>6.0040371589264098E-2</v>
      </c>
      <c r="Q453" s="343">
        <f t="shared" si="173"/>
        <v>1.7910363934862721</v>
      </c>
      <c r="R453" s="344">
        <f t="shared" si="174"/>
        <v>-101.89901247749816</v>
      </c>
      <c r="S453" s="346">
        <f t="shared" si="175"/>
        <v>78.100987522501839</v>
      </c>
      <c r="U453" s="319">
        <f t="shared" si="181"/>
        <v>1000000000</v>
      </c>
      <c r="V453" s="319">
        <f t="shared" si="182"/>
        <v>2398844484</v>
      </c>
      <c r="X453" s="345">
        <f t="shared" si="176"/>
        <v>37.192317006244089</v>
      </c>
      <c r="Y453" s="346">
        <f t="shared" si="177"/>
        <v>-13.272407322027979</v>
      </c>
      <c r="AA453" s="345">
        <f t="shared" si="178"/>
        <v>21.396766400158942</v>
      </c>
      <c r="AB453" s="346">
        <f t="shared" si="179"/>
        <v>-88.626605155470159</v>
      </c>
      <c r="AD453">
        <f t="shared" si="183"/>
        <v>0</v>
      </c>
      <c r="AE453">
        <f t="shared" si="186"/>
        <v>0</v>
      </c>
    </row>
    <row r="454" spans="1:31" x14ac:dyDescent="0.2">
      <c r="A454" s="347">
        <v>49263.25</v>
      </c>
      <c r="B454" s="364">
        <f t="shared" si="180"/>
        <v>49.263249999999999</v>
      </c>
      <c r="C454" s="337">
        <f t="shared" si="161"/>
        <v>97.77402168021213</v>
      </c>
      <c r="D454" s="338">
        <f t="shared" si="162"/>
        <v>1.5605684828561239</v>
      </c>
      <c r="E454" s="338">
        <f t="shared" si="163"/>
        <v>1.0027554999381731</v>
      </c>
      <c r="F454" s="339">
        <f t="shared" si="164"/>
        <v>7.4151027825372376E-2</v>
      </c>
      <c r="G454" s="338">
        <f t="shared" si="165"/>
        <v>1</v>
      </c>
      <c r="H454" s="339">
        <f t="shared" si="166"/>
        <v>0</v>
      </c>
      <c r="I454" s="337">
        <f t="shared" si="167"/>
        <v>9319.4532520965859</v>
      </c>
      <c r="J454" s="340">
        <f t="shared" si="168"/>
        <v>1.5706890243625684</v>
      </c>
      <c r="K454" s="348">
        <f t="shared" si="184"/>
        <v>8.8436608404933921</v>
      </c>
      <c r="L454" s="349">
        <f t="shared" si="185"/>
        <v>1.4574786205852366</v>
      </c>
      <c r="M454" s="337">
        <f t="shared" si="169"/>
        <v>1.0070579741288384</v>
      </c>
      <c r="N454" s="340">
        <f t="shared" si="170"/>
        <v>0.11846273781112648</v>
      </c>
      <c r="O454" s="341">
        <f t="shared" si="171"/>
        <v>0.9993950052374847</v>
      </c>
      <c r="P454" s="342">
        <f t="shared" si="172"/>
        <v>6.0390894543576282E-2</v>
      </c>
      <c r="Q454" s="343">
        <f t="shared" si="173"/>
        <v>1.7395879564451067</v>
      </c>
      <c r="R454" s="344">
        <f t="shared" si="174"/>
        <v>-101.89948350219802</v>
      </c>
      <c r="S454" s="346">
        <f t="shared" si="175"/>
        <v>78.100516497801976</v>
      </c>
      <c r="U454" s="319">
        <f t="shared" si="181"/>
        <v>1000000000</v>
      </c>
      <c r="V454" s="319">
        <f t="shared" si="182"/>
        <v>2426867800.5625</v>
      </c>
      <c r="X454" s="345">
        <f t="shared" si="176"/>
        <v>37.190967839452647</v>
      </c>
      <c r="Y454" s="346">
        <f t="shared" si="177"/>
        <v>-13.273893254723044</v>
      </c>
      <c r="AA454" s="345">
        <f t="shared" si="178"/>
        <v>21.346667129909221</v>
      </c>
      <c r="AB454" s="346">
        <f t="shared" si="179"/>
        <v>-88.625590247474946</v>
      </c>
      <c r="AD454">
        <f t="shared" si="183"/>
        <v>0</v>
      </c>
      <c r="AE454">
        <f t="shared" si="186"/>
        <v>0</v>
      </c>
    </row>
    <row r="455" spans="1:31" x14ac:dyDescent="0.2">
      <c r="A455" s="347">
        <v>49548.5</v>
      </c>
      <c r="B455" s="364">
        <f t="shared" si="180"/>
        <v>49.548499999999997</v>
      </c>
      <c r="C455" s="337">
        <f t="shared" si="161"/>
        <v>98.340105538658818</v>
      </c>
      <c r="D455" s="338">
        <f t="shared" si="162"/>
        <v>1.5606273603353145</v>
      </c>
      <c r="E455" s="338">
        <f t="shared" si="163"/>
        <v>1.0027874582988818</v>
      </c>
      <c r="F455" s="339">
        <f t="shared" si="164"/>
        <v>7.4578800293550629E-2</v>
      </c>
      <c r="G455" s="338">
        <f t="shared" si="165"/>
        <v>1</v>
      </c>
      <c r="H455" s="339">
        <f t="shared" si="166"/>
        <v>0</v>
      </c>
      <c r="I455" s="337">
        <f t="shared" si="167"/>
        <v>9373.4158714861023</v>
      </c>
      <c r="J455" s="340">
        <f t="shared" si="168"/>
        <v>1.5706896421011194</v>
      </c>
      <c r="K455" s="348">
        <f t="shared" si="184"/>
        <v>8.8942155882469311</v>
      </c>
      <c r="L455" s="349">
        <f t="shared" si="185"/>
        <v>1.4581254661681431</v>
      </c>
      <c r="M455" s="337">
        <f t="shared" si="169"/>
        <v>1.0071396560649368</v>
      </c>
      <c r="N455" s="340">
        <f t="shared" si="170"/>
        <v>0.1191422205789357</v>
      </c>
      <c r="O455" s="341">
        <f t="shared" si="171"/>
        <v>0.99938801119516152</v>
      </c>
      <c r="P455" s="342">
        <f t="shared" si="172"/>
        <v>6.074143221789445E-2</v>
      </c>
      <c r="Q455" s="343">
        <f t="shared" si="173"/>
        <v>1.6884396993599273</v>
      </c>
      <c r="R455" s="344">
        <f t="shared" si="174"/>
        <v>-101.90033707230714</v>
      </c>
      <c r="S455" s="346">
        <f t="shared" si="175"/>
        <v>78.099662927692862</v>
      </c>
      <c r="U455" s="319">
        <f t="shared" si="181"/>
        <v>1000000000</v>
      </c>
      <c r="V455" s="319">
        <f t="shared" si="182"/>
        <v>2455053852.25</v>
      </c>
      <c r="X455" s="345">
        <f t="shared" si="176"/>
        <v>37.189625794560129</v>
      </c>
      <c r="Y455" s="346">
        <f t="shared" si="177"/>
        <v>-13.275798621487144</v>
      </c>
      <c r="AA455" s="345">
        <f t="shared" si="178"/>
        <v>21.296860917716558</v>
      </c>
      <c r="AB455" s="346">
        <f t="shared" si="179"/>
        <v>-88.624538450819998</v>
      </c>
      <c r="AD455">
        <f t="shared" si="183"/>
        <v>0</v>
      </c>
      <c r="AE455">
        <f t="shared" si="186"/>
        <v>0</v>
      </c>
    </row>
    <row r="456" spans="1:31" x14ac:dyDescent="0.2">
      <c r="A456" s="347">
        <v>49833.75</v>
      </c>
      <c r="B456" s="364">
        <f t="shared" si="180"/>
        <v>49.833750000000002</v>
      </c>
      <c r="C456" s="337">
        <f t="shared" si="161"/>
        <v>98.906189734104871</v>
      </c>
      <c r="D456" s="338">
        <f t="shared" si="162"/>
        <v>1.5606855638506074</v>
      </c>
      <c r="E456" s="338">
        <f t="shared" si="163"/>
        <v>1.0028196001472347</v>
      </c>
      <c r="F456" s="339">
        <f t="shared" si="164"/>
        <v>7.5006545418519491E-2</v>
      </c>
      <c r="G456" s="338">
        <f t="shared" si="165"/>
        <v>1</v>
      </c>
      <c r="H456" s="339">
        <f t="shared" si="166"/>
        <v>0</v>
      </c>
      <c r="I456" s="337">
        <f t="shared" si="167"/>
        <v>9427.3784908791567</v>
      </c>
      <c r="J456" s="340">
        <f t="shared" si="168"/>
        <v>1.5706902527677593</v>
      </c>
      <c r="K456" s="348">
        <f t="shared" si="184"/>
        <v>8.9447740153552466</v>
      </c>
      <c r="L456" s="349">
        <f t="shared" si="185"/>
        <v>1.4587649997027641</v>
      </c>
      <c r="M456" s="337">
        <f t="shared" si="169"/>
        <v>1.0072218029186797</v>
      </c>
      <c r="N456" s="340">
        <f t="shared" si="170"/>
        <v>0.11982159282604692</v>
      </c>
      <c r="O456" s="341">
        <f t="shared" si="171"/>
        <v>0.9993809775244733</v>
      </c>
      <c r="P456" s="342">
        <f t="shared" si="172"/>
        <v>6.1091984697307367E-2</v>
      </c>
      <c r="Q456" s="343">
        <f t="shared" si="173"/>
        <v>1.6375880320799401</v>
      </c>
      <c r="R456" s="344">
        <f t="shared" si="174"/>
        <v>-101.90156665399594</v>
      </c>
      <c r="S456" s="346">
        <f t="shared" si="175"/>
        <v>78.098433346004057</v>
      </c>
      <c r="U456" s="319">
        <f t="shared" si="181"/>
        <v>1000000000</v>
      </c>
      <c r="V456" s="319">
        <f t="shared" si="182"/>
        <v>2483402639.0625</v>
      </c>
      <c r="X456" s="345">
        <f t="shared" si="176"/>
        <v>37.188290623283223</v>
      </c>
      <c r="Y456" s="346">
        <f t="shared" si="177"/>
        <v>-13.278116200197875</v>
      </c>
      <c r="AA456" s="345">
        <f t="shared" si="178"/>
        <v>21.247344421713482</v>
      </c>
      <c r="AB456" s="346">
        <f t="shared" si="179"/>
        <v>-88.623450453798057</v>
      </c>
      <c r="AD456">
        <f t="shared" si="183"/>
        <v>0</v>
      </c>
      <c r="AE456">
        <f t="shared" si="186"/>
        <v>0</v>
      </c>
    </row>
    <row r="457" spans="1:31" x14ac:dyDescent="0.2">
      <c r="A457" s="347">
        <v>50119</v>
      </c>
      <c r="B457" s="364">
        <f t="shared" si="180"/>
        <v>50.119</v>
      </c>
      <c r="C457" s="337">
        <f t="shared" si="161"/>
        <v>99.472274260796851</v>
      </c>
      <c r="D457" s="338">
        <f t="shared" si="162"/>
        <v>1.5607431049079432</v>
      </c>
      <c r="E457" s="338">
        <f t="shared" si="163"/>
        <v>1.0028519254655892</v>
      </c>
      <c r="F457" s="339">
        <f t="shared" si="164"/>
        <v>7.543426304639006E-2</v>
      </c>
      <c r="G457" s="338">
        <f t="shared" si="165"/>
        <v>1</v>
      </c>
      <c r="H457" s="339">
        <f t="shared" si="166"/>
        <v>0</v>
      </c>
      <c r="I457" s="337">
        <f t="shared" si="167"/>
        <v>9481.3411102756836</v>
      </c>
      <c r="J457" s="340">
        <f t="shared" si="168"/>
        <v>1.5706908564832367</v>
      </c>
      <c r="K457" s="348">
        <f t="shared" si="184"/>
        <v>8.9953360597787224</v>
      </c>
      <c r="L457" s="349">
        <f t="shared" si="185"/>
        <v>1.4593973439627634</v>
      </c>
      <c r="M457" s="337">
        <f t="shared" si="169"/>
        <v>1.0073044145763237</v>
      </c>
      <c r="N457" s="340">
        <f t="shared" si="170"/>
        <v>0.12050085395245252</v>
      </c>
      <c r="O457" s="341">
        <f t="shared" si="171"/>
        <v>0.99937390423843209</v>
      </c>
      <c r="P457" s="342">
        <f t="shared" si="172"/>
        <v>6.1442552066901163E-2</v>
      </c>
      <c r="Q457" s="343">
        <f t="shared" si="173"/>
        <v>1.5870294286676521</v>
      </c>
      <c r="R457" s="344">
        <f t="shared" si="174"/>
        <v>-101.90316585832615</v>
      </c>
      <c r="S457" s="346">
        <f t="shared" si="175"/>
        <v>78.096834141673853</v>
      </c>
      <c r="U457" s="319">
        <f t="shared" si="181"/>
        <v>1000000000</v>
      </c>
      <c r="V457" s="319">
        <f t="shared" si="182"/>
        <v>2511914161</v>
      </c>
      <c r="X457" s="345">
        <f t="shared" si="176"/>
        <v>37.186962084360943</v>
      </c>
      <c r="Y457" s="346">
        <f t="shared" si="177"/>
        <v>-13.280838928982931</v>
      </c>
      <c r="AA457" s="345">
        <f t="shared" si="178"/>
        <v>21.198114357223478</v>
      </c>
      <c r="AB457" s="346">
        <f t="shared" si="179"/>
        <v>-88.622326929343217</v>
      </c>
      <c r="AD457">
        <f t="shared" si="183"/>
        <v>0</v>
      </c>
      <c r="AE457">
        <f t="shared" si="186"/>
        <v>0</v>
      </c>
    </row>
    <row r="458" spans="1:31" x14ac:dyDescent="0.2">
      <c r="A458" s="347">
        <v>50410.75</v>
      </c>
      <c r="B458" s="364">
        <f t="shared" si="180"/>
        <v>50.41075</v>
      </c>
      <c r="C458" s="337">
        <f t="shared" si="161"/>
        <v>100.0512585087646</v>
      </c>
      <c r="D458" s="338">
        <f t="shared" si="162"/>
        <v>1.5608012836015666</v>
      </c>
      <c r="E458" s="338">
        <f t="shared" si="163"/>
        <v>1.0028851771521552</v>
      </c>
      <c r="F458" s="339">
        <f t="shared" si="164"/>
        <v>7.5871698483779323E-2</v>
      </c>
      <c r="G458" s="338">
        <f t="shared" si="165"/>
        <v>1</v>
      </c>
      <c r="H458" s="339">
        <f t="shared" si="166"/>
        <v>0</v>
      </c>
      <c r="I458" s="337">
        <f t="shared" si="167"/>
        <v>9536.5333774446444</v>
      </c>
      <c r="J458" s="340">
        <f t="shared" si="168"/>
        <v>1.5706914668880254</v>
      </c>
      <c r="K458" s="348">
        <f t="shared" si="184"/>
        <v>9.0470539416524094</v>
      </c>
      <c r="L458" s="349">
        <f t="shared" si="185"/>
        <v>1.4600367857091303</v>
      </c>
      <c r="M458" s="337">
        <f t="shared" si="169"/>
        <v>1.0073893894008346</v>
      </c>
      <c r="N458" s="340">
        <f t="shared" si="170"/>
        <v>0.12119547784931903</v>
      </c>
      <c r="O458" s="341">
        <f t="shared" si="171"/>
        <v>0.999366628807146</v>
      </c>
      <c r="P458" s="342">
        <f t="shared" si="172"/>
        <v>6.1801123316968555E-2</v>
      </c>
      <c r="Q458" s="343">
        <f t="shared" si="173"/>
        <v>1.5356182925558515</v>
      </c>
      <c r="R458" s="344">
        <f t="shared" si="174"/>
        <v>-101.90517734478865</v>
      </c>
      <c r="S458" s="346">
        <f t="shared" si="175"/>
        <v>78.094822655211345</v>
      </c>
      <c r="U458" s="319">
        <f t="shared" si="181"/>
        <v>1000000000</v>
      </c>
      <c r="V458" s="319">
        <f t="shared" si="182"/>
        <v>2541243715.5625</v>
      </c>
      <c r="X458" s="345">
        <f t="shared" si="176"/>
        <v>37.185609888406795</v>
      </c>
      <c r="Y458" s="346">
        <f t="shared" si="177"/>
        <v>-13.284035606932848</v>
      </c>
      <c r="AA458" s="345">
        <f t="shared" si="178"/>
        <v>21.148055417065823</v>
      </c>
      <c r="AB458" s="346">
        <f t="shared" si="179"/>
        <v>-88.621141737855808</v>
      </c>
      <c r="AD458">
        <f t="shared" si="183"/>
        <v>0</v>
      </c>
      <c r="AE458">
        <f t="shared" si="186"/>
        <v>0</v>
      </c>
    </row>
    <row r="459" spans="1:31" x14ac:dyDescent="0.2">
      <c r="A459" s="347">
        <v>50702.5</v>
      </c>
      <c r="B459" s="364">
        <f t="shared" si="180"/>
        <v>50.702500000000001</v>
      </c>
      <c r="C459" s="337">
        <f t="shared" si="161"/>
        <v>100.63024309148499</v>
      </c>
      <c r="D459" s="338">
        <f t="shared" si="162"/>
        <v>1.5608587928233508</v>
      </c>
      <c r="E459" s="338">
        <f t="shared" si="163"/>
        <v>1.0029186207278145</v>
      </c>
      <c r="F459" s="339">
        <f t="shared" si="164"/>
        <v>7.6309104831198127E-2</v>
      </c>
      <c r="G459" s="338">
        <f t="shared" si="165"/>
        <v>1</v>
      </c>
      <c r="H459" s="339">
        <f t="shared" si="166"/>
        <v>0</v>
      </c>
      <c r="I459" s="337">
        <f t="shared" si="167"/>
        <v>9591.7256446171141</v>
      </c>
      <c r="J459" s="340">
        <f t="shared" si="168"/>
        <v>1.5706920702680878</v>
      </c>
      <c r="K459" s="348">
        <f t="shared" si="184"/>
        <v>9.0987754806836332</v>
      </c>
      <c r="L459" s="349">
        <f t="shared" si="185"/>
        <v>1.4606689579616021</v>
      </c>
      <c r="M459" s="337">
        <f t="shared" si="169"/>
        <v>1.0074748502109705</v>
      </c>
      <c r="N459" s="340">
        <f t="shared" si="170"/>
        <v>0.12188998423587376</v>
      </c>
      <c r="O459" s="341">
        <f t="shared" si="171"/>
        <v>0.99935931196227867</v>
      </c>
      <c r="P459" s="342">
        <f t="shared" si="172"/>
        <v>6.215971032359046E-2</v>
      </c>
      <c r="Q459" s="343">
        <f t="shared" si="173"/>
        <v>1.4845064667107022</v>
      </c>
      <c r="R459" s="344">
        <f t="shared" si="174"/>
        <v>-101.90756241884459</v>
      </c>
      <c r="S459" s="346">
        <f t="shared" si="175"/>
        <v>78.092437581155409</v>
      </c>
      <c r="U459" s="319">
        <f t="shared" si="181"/>
        <v>1000000000</v>
      </c>
      <c r="V459" s="319">
        <f t="shared" si="182"/>
        <v>2570743506.25</v>
      </c>
      <c r="X459" s="345">
        <f t="shared" si="176"/>
        <v>37.184264141490587</v>
      </c>
      <c r="Y459" s="346">
        <f t="shared" si="177"/>
        <v>-13.287641660870547</v>
      </c>
      <c r="AA459" s="345">
        <f t="shared" si="178"/>
        <v>21.09828933813688</v>
      </c>
      <c r="AB459" s="346">
        <f t="shared" si="179"/>
        <v>-88.619920757974057</v>
      </c>
      <c r="AD459">
        <f t="shared" si="183"/>
        <v>0</v>
      </c>
      <c r="AE459">
        <f t="shared" si="186"/>
        <v>0</v>
      </c>
    </row>
    <row r="460" spans="1:31" x14ac:dyDescent="0.2">
      <c r="A460" s="347">
        <v>50994.25</v>
      </c>
      <c r="B460" s="364">
        <f t="shared" si="180"/>
        <v>50.994250000000001</v>
      </c>
      <c r="C460" s="337">
        <f t="shared" si="161"/>
        <v>101.20922800321297</v>
      </c>
      <c r="D460" s="338">
        <f t="shared" si="162"/>
        <v>1.5609156440624012</v>
      </c>
      <c r="E460" s="338">
        <f t="shared" si="163"/>
        <v>1.0029522561733717</v>
      </c>
      <c r="F460" s="339">
        <f t="shared" si="164"/>
        <v>7.674648192419195E-2</v>
      </c>
      <c r="G460" s="338">
        <f t="shared" si="165"/>
        <v>1</v>
      </c>
      <c r="H460" s="339">
        <f t="shared" si="166"/>
        <v>0</v>
      </c>
      <c r="I460" s="337">
        <f t="shared" si="167"/>
        <v>9646.9179117930362</v>
      </c>
      <c r="J460" s="340">
        <f t="shared" si="168"/>
        <v>1.570692666743994</v>
      </c>
      <c r="K460" s="348">
        <f t="shared" si="184"/>
        <v>9.150500614858144</v>
      </c>
      <c r="L460" s="349">
        <f t="shared" si="185"/>
        <v>1.461293983487602</v>
      </c>
      <c r="M460" s="337">
        <f t="shared" si="169"/>
        <v>1.0075607968830682</v>
      </c>
      <c r="N460" s="340">
        <f t="shared" si="170"/>
        <v>0.12258437247212867</v>
      </c>
      <c r="O460" s="341">
        <f t="shared" si="171"/>
        <v>0.9993519537179959</v>
      </c>
      <c r="P460" s="342">
        <f t="shared" si="172"/>
        <v>6.2518313177794688E-2</v>
      </c>
      <c r="Q460" s="343">
        <f t="shared" si="173"/>
        <v>1.4336903772451495</v>
      </c>
      <c r="R460" s="344">
        <f t="shared" si="174"/>
        <v>-101.91031468959363</v>
      </c>
      <c r="S460" s="346">
        <f t="shared" si="175"/>
        <v>78.089685310406367</v>
      </c>
      <c r="U460" s="319">
        <f t="shared" si="181"/>
        <v>1000000000</v>
      </c>
      <c r="V460" s="319">
        <f t="shared" si="182"/>
        <v>2600413533.0625</v>
      </c>
      <c r="X460" s="345">
        <f t="shared" si="176"/>
        <v>37.182924606782748</v>
      </c>
      <c r="Y460" s="346">
        <f t="shared" si="177"/>
        <v>-13.291650026980337</v>
      </c>
      <c r="AA460" s="345">
        <f t="shared" si="178"/>
        <v>21.048812783379169</v>
      </c>
      <c r="AB460" s="346">
        <f t="shared" si="179"/>
        <v>-88.618664662613313</v>
      </c>
      <c r="AD460">
        <f t="shared" si="183"/>
        <v>0</v>
      </c>
      <c r="AE460">
        <f t="shared" si="186"/>
        <v>0</v>
      </c>
    </row>
    <row r="461" spans="1:31" x14ac:dyDescent="0.2">
      <c r="A461" s="347">
        <v>51286</v>
      </c>
      <c r="B461" s="364">
        <f t="shared" si="180"/>
        <v>51.286000000000001</v>
      </c>
      <c r="C461" s="337">
        <f t="shared" ref="C461:C524" si="187">SQRT(1+(A461/pole1)^2)</f>
        <v>101.78821323833427</v>
      </c>
      <c r="D461" s="338">
        <f t="shared" ref="D461:D524" si="188">ATAN(A461/pole1)</f>
        <v>1.5609718485464332</v>
      </c>
      <c r="E461" s="338">
        <f t="shared" ref="E461:E524" si="189">SQRT(1+(A461/Zero1)^2)</f>
        <v>1.0029860834695234</v>
      </c>
      <c r="F461" s="339">
        <f t="shared" ref="F461:F524" si="190">ATAN(A461/Zero1)</f>
        <v>7.7183829598373069E-2</v>
      </c>
      <c r="G461" s="338">
        <f t="shared" ref="G461:G524" si="191">IF(VIN_nom&gt;Vout, 1, SQRT(1+(A461/z_RHP)^2))</f>
        <v>1</v>
      </c>
      <c r="H461" s="339">
        <f t="shared" ref="H461:H524" si="192">IF(VIN_nom&gt;Vout, 0, -ATAN(A461/z_RHP))</f>
        <v>0</v>
      </c>
      <c r="I461" s="337">
        <f t="shared" ref="I461:I524" si="193">SQRT(1+(A461/Pole2)^2)</f>
        <v>9702.1101789723525</v>
      </c>
      <c r="J461" s="340">
        <f t="shared" ref="J461:J524" si="194">ATAN(A461/Pole2)</f>
        <v>1.5706932564335707</v>
      </c>
      <c r="K461" s="348">
        <f t="shared" si="184"/>
        <v>9.2022292835517376</v>
      </c>
      <c r="L461" s="349">
        <f t="shared" si="185"/>
        <v>1.4619119823167177</v>
      </c>
      <c r="M461" s="337">
        <f t="shared" ref="M461:M524" si="195">SQRT(1+(A461/pole4)^2)</f>
        <v>1.007647229292804</v>
      </c>
      <c r="N461" s="340">
        <f t="shared" ref="N461:N524" si="196">ATAN(A461/pole4)</f>
        <v>0.12327864191876915</v>
      </c>
      <c r="O461" s="341">
        <f t="shared" ref="O461:O524" si="197">SQRT((1-(V461/pterm2))^2+(A461/pterm1)^2)</f>
        <v>0.99934455408854606</v>
      </c>
      <c r="P461" s="342">
        <f t="shared" ref="P461:P524" si="198">IF((ATAN((A461/pterm1)/(1-A461^2/pterm2))&gt;0),ATAN((A461/pterm1)/(1-A461^2/pterm2)),PI()+ATAN((A461/pterm1)/(1-A461^2/pterm2)))</f>
        <v>6.2876931970606065E-2</v>
      </c>
      <c r="Q461" s="343">
        <f t="shared" ref="Q461:Q524" si="199">20*LOG10(((E461*K461*G461)/(C461*I461*O461*M461))*Adc)</f>
        <v>1.3831665140608567</v>
      </c>
      <c r="R461" s="344">
        <f t="shared" ref="R461:R524" si="200">((F461+L461+H461)-(D461+J461+P461+N461))*radconv</f>
        <v>-101.91342790790269</v>
      </c>
      <c r="S461" s="346">
        <f t="shared" ref="S461:S524" si="201">IF(R461&gt;0,R461,R461+180)</f>
        <v>78.086572092097313</v>
      </c>
      <c r="U461" s="319">
        <f t="shared" si="181"/>
        <v>1000000000</v>
      </c>
      <c r="V461" s="319">
        <f t="shared" si="182"/>
        <v>2630253796</v>
      </c>
      <c r="X461" s="345">
        <f t="shared" ref="X461:X524" si="202">20*LOG10((K461/(I461*M461))*AEA)</f>
        <v>37.181591054161444</v>
      </c>
      <c r="Y461" s="346">
        <f t="shared" ref="Y461:Y524" si="203">(L461-(J461+N461))*radconv</f>
        <v>-13.296053798194366</v>
      </c>
      <c r="AA461" s="345">
        <f t="shared" ref="AA461:AA524" si="204">20*LOG10((E461*G461/(C461*O461))*Acs*Am)</f>
        <v>20.999622472816171</v>
      </c>
      <c r="AB461" s="346">
        <f t="shared" ref="AB461:AB524" si="205">(F461+H461-(D461+P461))*radconv</f>
        <v>-88.617374109708294</v>
      </c>
      <c r="AD461">
        <f t="shared" si="183"/>
        <v>0</v>
      </c>
      <c r="AE461">
        <f t="shared" si="186"/>
        <v>0</v>
      </c>
    </row>
    <row r="462" spans="1:31" x14ac:dyDescent="0.2">
      <c r="A462" s="347">
        <v>51584.75</v>
      </c>
      <c r="B462" s="364">
        <f t="shared" ref="B462:B525" si="206">A462/1000</f>
        <v>51.58475</v>
      </c>
      <c r="C462" s="337">
        <f t="shared" si="187"/>
        <v>102.38109047944215</v>
      </c>
      <c r="D462" s="338">
        <f t="shared" si="188"/>
        <v>1.5610287427962937</v>
      </c>
      <c r="E462" s="338">
        <f t="shared" si="189"/>
        <v>1.0030209211790786</v>
      </c>
      <c r="F462" s="339">
        <f t="shared" si="190"/>
        <v>7.7631639960937221E-2</v>
      </c>
      <c r="G462" s="338">
        <f t="shared" si="191"/>
        <v>1</v>
      </c>
      <c r="H462" s="339">
        <f t="shared" si="192"/>
        <v>0</v>
      </c>
      <c r="I462" s="337">
        <f t="shared" si="193"/>
        <v>9758.6266822142661</v>
      </c>
      <c r="J462" s="340">
        <f t="shared" si="194"/>
        <v>1.5706938533594108</v>
      </c>
      <c r="K462" s="348">
        <f t="shared" si="184"/>
        <v>9.2552026865212085</v>
      </c>
      <c r="L462" s="349">
        <f t="shared" si="185"/>
        <v>1.4625376498545413</v>
      </c>
      <c r="M462" s="337">
        <f t="shared" si="195"/>
        <v>1.0077362387163158</v>
      </c>
      <c r="N462" s="340">
        <f t="shared" si="196"/>
        <v>0.12398944530667845</v>
      </c>
      <c r="O462" s="341">
        <f t="shared" si="197"/>
        <v>0.99933693404716495</v>
      </c>
      <c r="P462" s="342">
        <f t="shared" si="198"/>
        <v>6.3244171767946195E-2</v>
      </c>
      <c r="Q462" s="343">
        <f t="shared" si="199"/>
        <v>1.3317296509471945</v>
      </c>
      <c r="R462" s="344">
        <f t="shared" si="200"/>
        <v>-101.91698348118845</v>
      </c>
      <c r="S462" s="346">
        <f t="shared" si="201"/>
        <v>78.083016518811547</v>
      </c>
      <c r="U462" s="319">
        <f t="shared" ref="U462:U525" si="207">IF(Q462&lt;0,A462,1000000000)</f>
        <v>1000000000</v>
      </c>
      <c r="V462" s="319">
        <f t="shared" ref="V462:V525" si="208">A462^2</f>
        <v>2660986432.5625</v>
      </c>
      <c r="X462" s="345">
        <f t="shared" si="202"/>
        <v>37.180231470956436</v>
      </c>
      <c r="Y462" s="346">
        <f t="shared" si="203"/>
        <v>-13.300965924426469</v>
      </c>
      <c r="AA462" s="345">
        <f t="shared" si="204"/>
        <v>20.949545192907522</v>
      </c>
      <c r="AB462" s="346">
        <f t="shared" si="205"/>
        <v>-88.616017556762003</v>
      </c>
      <c r="AD462">
        <f t="shared" ref="AD462:AD525" si="209">SUM((Q463&lt;0)*(Q462&gt;0))*A462</f>
        <v>0</v>
      </c>
      <c r="AE462">
        <f t="shared" si="186"/>
        <v>0</v>
      </c>
    </row>
    <row r="463" spans="1:31" x14ac:dyDescent="0.2">
      <c r="A463" s="347">
        <v>51883.5</v>
      </c>
      <c r="B463" s="364">
        <f t="shared" si="206"/>
        <v>51.883499999999998</v>
      </c>
      <c r="C463" s="337">
        <f t="shared" si="187"/>
        <v>102.97396804813697</v>
      </c>
      <c r="D463" s="338">
        <f t="shared" si="188"/>
        <v>1.5610849819035799</v>
      </c>
      <c r="E463" s="338">
        <f t="shared" si="189"/>
        <v>1.0030559600145568</v>
      </c>
      <c r="F463" s="339">
        <f t="shared" si="190"/>
        <v>7.8079419127392385E-2</v>
      </c>
      <c r="G463" s="338">
        <f t="shared" si="191"/>
        <v>1</v>
      </c>
      <c r="H463" s="339">
        <f t="shared" si="192"/>
        <v>0</v>
      </c>
      <c r="I463" s="337">
        <f t="shared" si="193"/>
        <v>9815.1431854596194</v>
      </c>
      <c r="J463" s="340">
        <f t="shared" si="194"/>
        <v>1.5706944434109424</v>
      </c>
      <c r="K463" s="348">
        <f t="shared" si="184"/>
        <v>9.3081796712924003</v>
      </c>
      <c r="L463" s="349">
        <f t="shared" si="185"/>
        <v>1.4631561957285084</v>
      </c>
      <c r="M463" s="337">
        <f t="shared" si="195"/>
        <v>1.0078257571998681</v>
      </c>
      <c r="N463" s="340">
        <f t="shared" si="196"/>
        <v>0.12470012278168895</v>
      </c>
      <c r="O463" s="341">
        <f t="shared" si="197"/>
        <v>0.99932927064137489</v>
      </c>
      <c r="P463" s="342">
        <f t="shared" si="198"/>
        <v>6.3611428471074538E-2</v>
      </c>
      <c r="Q463" s="343">
        <f t="shared" si="199"/>
        <v>1.2805919542342361</v>
      </c>
      <c r="R463" s="344">
        <f t="shared" si="200"/>
        <v>-101.92090470674142</v>
      </c>
      <c r="S463" s="346">
        <f t="shared" si="201"/>
        <v>78.079095293258575</v>
      </c>
      <c r="U463" s="319">
        <f t="shared" si="207"/>
        <v>1000000000</v>
      </c>
      <c r="V463" s="319">
        <f t="shared" si="208"/>
        <v>2691897572.25</v>
      </c>
      <c r="X463" s="345">
        <f t="shared" si="202"/>
        <v>37.178877692553812</v>
      </c>
      <c r="Y463" s="346">
        <f t="shared" si="203"/>
        <v>-13.306278483794554</v>
      </c>
      <c r="AA463" s="345">
        <f t="shared" si="204"/>
        <v>20.899761274597182</v>
      </c>
      <c r="AB463" s="346">
        <f t="shared" si="205"/>
        <v>-88.614626222946868</v>
      </c>
      <c r="AD463">
        <f t="shared" si="209"/>
        <v>0</v>
      </c>
      <c r="AE463">
        <f t="shared" si="186"/>
        <v>0</v>
      </c>
    </row>
    <row r="464" spans="1:31" x14ac:dyDescent="0.2">
      <c r="A464" s="347">
        <v>52182.25</v>
      </c>
      <c r="B464" s="364">
        <f t="shared" si="206"/>
        <v>52.182250000000003</v>
      </c>
      <c r="C464" s="337">
        <f t="shared" si="187"/>
        <v>103.56684593879278</v>
      </c>
      <c r="D464" s="338">
        <f t="shared" si="188"/>
        <v>1.5611405771192042</v>
      </c>
      <c r="E464" s="338">
        <f t="shared" si="189"/>
        <v>1.0030911999548819</v>
      </c>
      <c r="F464" s="339">
        <f t="shared" si="190"/>
        <v>7.8527166921452146E-2</v>
      </c>
      <c r="G464" s="338">
        <f t="shared" si="191"/>
        <v>1</v>
      </c>
      <c r="H464" s="339">
        <f t="shared" si="192"/>
        <v>0</v>
      </c>
      <c r="I464" s="337">
        <f t="shared" si="193"/>
        <v>9871.6596887083524</v>
      </c>
      <c r="J464" s="340">
        <f t="shared" si="194"/>
        <v>1.5706950267062343</v>
      </c>
      <c r="K464" s="348">
        <f t="shared" si="184"/>
        <v>9.3611601770545683</v>
      </c>
      <c r="L464" s="349">
        <f t="shared" si="185"/>
        <v>1.4637677403787424</v>
      </c>
      <c r="M464" s="337">
        <f t="shared" si="195"/>
        <v>1.0079157846078231</v>
      </c>
      <c r="N464" s="340">
        <f t="shared" si="196"/>
        <v>0.12541067365957276</v>
      </c>
      <c r="O464" s="341">
        <f t="shared" si="197"/>
        <v>0.99932156388674276</v>
      </c>
      <c r="P464" s="342">
        <f t="shared" si="198"/>
        <v>6.3978702177716729E-2</v>
      </c>
      <c r="Q464" s="343">
        <f t="shared" si="199"/>
        <v>1.229749853200681</v>
      </c>
      <c r="R464" s="344">
        <f t="shared" si="200"/>
        <v>-101.92518531174176</v>
      </c>
      <c r="S464" s="346">
        <f t="shared" si="201"/>
        <v>78.074814688258243</v>
      </c>
      <c r="U464" s="319">
        <f t="shared" si="207"/>
        <v>1000000000</v>
      </c>
      <c r="V464" s="319">
        <f t="shared" si="208"/>
        <v>2722987215.0625</v>
      </c>
      <c r="X464" s="345">
        <f t="shared" si="202"/>
        <v>37.177529492299414</v>
      </c>
      <c r="Y464" s="346">
        <f t="shared" si="203"/>
        <v>-13.311984543149364</v>
      </c>
      <c r="AA464" s="345">
        <f t="shared" si="204"/>
        <v>20.850267373818031</v>
      </c>
      <c r="AB464" s="346">
        <f t="shared" si="205"/>
        <v>-88.613200768592435</v>
      </c>
      <c r="AD464">
        <f t="shared" si="209"/>
        <v>0</v>
      </c>
      <c r="AE464">
        <f t="shared" si="186"/>
        <v>0</v>
      </c>
    </row>
    <row r="465" spans="1:31" x14ac:dyDescent="0.2">
      <c r="A465" s="347">
        <v>52481</v>
      </c>
      <c r="B465" s="364">
        <f t="shared" si="206"/>
        <v>52.481000000000002</v>
      </c>
      <c r="C465" s="337">
        <f t="shared" si="187"/>
        <v>104.15972414591181</v>
      </c>
      <c r="D465" s="338">
        <f t="shared" si="188"/>
        <v>1.5611955394379333</v>
      </c>
      <c r="E465" s="338">
        <f t="shared" si="189"/>
        <v>1.0031266409788593</v>
      </c>
      <c r="F465" s="339">
        <f t="shared" si="190"/>
        <v>7.8974883166905097E-2</v>
      </c>
      <c r="G465" s="338">
        <f t="shared" si="191"/>
        <v>1</v>
      </c>
      <c r="H465" s="339">
        <f t="shared" si="192"/>
        <v>0</v>
      </c>
      <c r="I465" s="337">
        <f t="shared" si="193"/>
        <v>9928.1761919604032</v>
      </c>
      <c r="J465" s="340">
        <f t="shared" si="194"/>
        <v>1.5706956033606669</v>
      </c>
      <c r="K465" s="348">
        <f t="shared" si="184"/>
        <v>9.4141441443618756</v>
      </c>
      <c r="L465" s="349">
        <f t="shared" si="185"/>
        <v>1.4643724015551767</v>
      </c>
      <c r="M465" s="337">
        <f t="shared" si="195"/>
        <v>1.0080063208038217</v>
      </c>
      <c r="N465" s="340">
        <f t="shared" si="196"/>
        <v>0.126121097256857</v>
      </c>
      <c r="O465" s="341">
        <f t="shared" si="197"/>
        <v>0.99931381379892559</v>
      </c>
      <c r="P465" s="342">
        <f t="shared" si="198"/>
        <v>6.4345992985595124E-2</v>
      </c>
      <c r="Q465" s="343">
        <f t="shared" si="199"/>
        <v>1.1791998408019897</v>
      </c>
      <c r="R465" s="344">
        <f t="shared" si="200"/>
        <v>-101.92981916271502</v>
      </c>
      <c r="S465" s="346">
        <f t="shared" si="201"/>
        <v>78.07018083728498</v>
      </c>
      <c r="U465" s="319">
        <f t="shared" si="207"/>
        <v>1000000000</v>
      </c>
      <c r="V465" s="319">
        <f t="shared" si="208"/>
        <v>2754255361</v>
      </c>
      <c r="X465" s="345">
        <f t="shared" si="202"/>
        <v>37.176186649976096</v>
      </c>
      <c r="Y465" s="346">
        <f t="shared" si="203"/>
        <v>-13.318077323367335</v>
      </c>
      <c r="AA465" s="345">
        <f t="shared" si="204"/>
        <v>20.801060203742658</v>
      </c>
      <c r="AB465" s="346">
        <f t="shared" si="205"/>
        <v>-88.611741839347687</v>
      </c>
      <c r="AD465">
        <f t="shared" si="209"/>
        <v>0</v>
      </c>
      <c r="AE465">
        <f t="shared" si="186"/>
        <v>0</v>
      </c>
    </row>
    <row r="466" spans="1:31" x14ac:dyDescent="0.2">
      <c r="A466" s="347">
        <v>52786.5</v>
      </c>
      <c r="B466" s="364">
        <f t="shared" si="206"/>
        <v>52.786499999999997</v>
      </c>
      <c r="C466" s="337">
        <f t="shared" si="187"/>
        <v>104.76599824925631</v>
      </c>
      <c r="D466" s="338">
        <f t="shared" si="188"/>
        <v>1.5612511002700931</v>
      </c>
      <c r="E466" s="338">
        <f t="shared" si="189"/>
        <v>1.0031630906901146</v>
      </c>
      <c r="F466" s="339">
        <f t="shared" si="190"/>
        <v>7.9432682367497814E-2</v>
      </c>
      <c r="G466" s="338">
        <f t="shared" si="191"/>
        <v>1</v>
      </c>
      <c r="H466" s="339">
        <f t="shared" si="192"/>
        <v>0</v>
      </c>
      <c r="I466" s="337">
        <f t="shared" si="193"/>
        <v>9985.9696371303125</v>
      </c>
      <c r="J466" s="340">
        <f t="shared" si="194"/>
        <v>1.5706961862939728</v>
      </c>
      <c r="K466" s="348">
        <f t="shared" si="184"/>
        <v>9.4683287581601761</v>
      </c>
      <c r="L466" s="349">
        <f t="shared" si="185"/>
        <v>1.4649837259594298</v>
      </c>
      <c r="M466" s="337">
        <f t="shared" si="195"/>
        <v>1.0080994286060327</v>
      </c>
      <c r="N466" s="340">
        <f t="shared" si="196"/>
        <v>0.12684743992784181</v>
      </c>
      <c r="O466" s="341">
        <f t="shared" si="197"/>
        <v>0.99930584380807075</v>
      </c>
      <c r="P466" s="342">
        <f t="shared" si="198"/>
        <v>6.4721600201237087E-2</v>
      </c>
      <c r="Q466" s="343">
        <f t="shared" si="199"/>
        <v>1.1278061676760718</v>
      </c>
      <c r="R466" s="344">
        <f t="shared" si="200"/>
        <v>-101.93491677093118</v>
      </c>
      <c r="S466" s="346">
        <f t="shared" si="201"/>
        <v>78.065083229068819</v>
      </c>
      <c r="U466" s="319">
        <f t="shared" si="207"/>
        <v>1000000000</v>
      </c>
      <c r="V466" s="319">
        <f t="shared" si="208"/>
        <v>2786414582.25</v>
      </c>
      <c r="X466" s="345">
        <f t="shared" si="202"/>
        <v>37.174818785234713</v>
      </c>
      <c r="Y466" s="346">
        <f t="shared" si="203"/>
        <v>-13.324700784243706</v>
      </c>
      <c r="AA466" s="345">
        <f t="shared" si="204"/>
        <v>20.751034395358118</v>
      </c>
      <c r="AB466" s="346">
        <f t="shared" si="205"/>
        <v>-88.61021598668745</v>
      </c>
      <c r="AD466">
        <f t="shared" si="209"/>
        <v>0</v>
      </c>
      <c r="AE466">
        <f t="shared" si="186"/>
        <v>0</v>
      </c>
    </row>
    <row r="467" spans="1:31" x14ac:dyDescent="0.2">
      <c r="A467" s="347">
        <v>53092</v>
      </c>
      <c r="B467" s="364">
        <f t="shared" si="206"/>
        <v>53.091999999999999</v>
      </c>
      <c r="C467" s="337">
        <f t="shared" si="187"/>
        <v>105.3722726722925</v>
      </c>
      <c r="D467" s="338">
        <f t="shared" si="188"/>
        <v>1.5613060217480517</v>
      </c>
      <c r="E467" s="338">
        <f t="shared" si="189"/>
        <v>1.0031997506290955</v>
      </c>
      <c r="F467" s="339">
        <f t="shared" si="190"/>
        <v>7.9890448205301376E-2</v>
      </c>
      <c r="G467" s="338">
        <f t="shared" si="191"/>
        <v>1</v>
      </c>
      <c r="H467" s="339">
        <f t="shared" si="192"/>
        <v>0</v>
      </c>
      <c r="I467" s="337">
        <f t="shared" si="193"/>
        <v>10043.763082303572</v>
      </c>
      <c r="J467" s="340">
        <f t="shared" si="194"/>
        <v>1.5706967625186927</v>
      </c>
      <c r="K467" s="348">
        <f t="shared" si="184"/>
        <v>9.5225168701691043</v>
      </c>
      <c r="L467" s="349">
        <f t="shared" si="185"/>
        <v>1.4655880930748635</v>
      </c>
      <c r="M467" s="337">
        <f t="shared" si="195"/>
        <v>1.0081930681565678</v>
      </c>
      <c r="N467" s="340">
        <f t="shared" si="196"/>
        <v>0.12757364805852964</v>
      </c>
      <c r="O467" s="341">
        <f t="shared" si="197"/>
        <v>0.99929782853716265</v>
      </c>
      <c r="P467" s="342">
        <f t="shared" si="198"/>
        <v>6.5097225506295431E-2</v>
      </c>
      <c r="Q467" s="343">
        <f t="shared" si="199"/>
        <v>1.0767107111300966</v>
      </c>
      <c r="R467" s="344">
        <f t="shared" si="200"/>
        <v>-101.94037122516593</v>
      </c>
      <c r="S467" s="346">
        <f t="shared" si="201"/>
        <v>78.059628774834067</v>
      </c>
      <c r="U467" s="319">
        <f t="shared" si="207"/>
        <v>1000000000</v>
      </c>
      <c r="V467" s="319">
        <f t="shared" si="208"/>
        <v>2818760464</v>
      </c>
      <c r="X467" s="345">
        <f t="shared" si="202"/>
        <v>37.173456077198239</v>
      </c>
      <c r="Y467" s="346">
        <f t="shared" si="203"/>
        <v>-13.331714775441876</v>
      </c>
      <c r="AA467" s="345">
        <f t="shared" si="204"/>
        <v>20.70130164684862</v>
      </c>
      <c r="AB467" s="346">
        <f t="shared" si="205"/>
        <v>-88.608656449724052</v>
      </c>
      <c r="AD467">
        <f t="shared" si="209"/>
        <v>0</v>
      </c>
      <c r="AE467">
        <f t="shared" si="186"/>
        <v>0</v>
      </c>
    </row>
    <row r="468" spans="1:31" x14ac:dyDescent="0.2">
      <c r="A468" s="347">
        <v>53397.5</v>
      </c>
      <c r="B468" s="364">
        <f t="shared" si="206"/>
        <v>53.397500000000001</v>
      </c>
      <c r="C468" s="337">
        <f t="shared" si="187"/>
        <v>105.97854740953372</v>
      </c>
      <c r="D468" s="338">
        <f t="shared" si="188"/>
        <v>1.5613603148441946</v>
      </c>
      <c r="E468" s="338">
        <f t="shared" si="189"/>
        <v>1.0032366207727559</v>
      </c>
      <c r="F468" s="339">
        <f t="shared" si="190"/>
        <v>8.0348180492134449E-2</v>
      </c>
      <c r="G468" s="338">
        <f t="shared" si="191"/>
        <v>1</v>
      </c>
      <c r="H468" s="339">
        <f t="shared" si="192"/>
        <v>0</v>
      </c>
      <c r="I468" s="337">
        <f t="shared" si="193"/>
        <v>10101.556527480132</v>
      </c>
      <c r="J468" s="340">
        <f t="shared" si="194"/>
        <v>1.5706973321499711</v>
      </c>
      <c r="K468" s="348">
        <f t="shared" si="184"/>
        <v>9.5767084210066411</v>
      </c>
      <c r="L468" s="349">
        <f t="shared" si="185"/>
        <v>1.4661856205634476</v>
      </c>
      <c r="M468" s="337">
        <f t="shared" si="195"/>
        <v>1.0082872393072768</v>
      </c>
      <c r="N468" s="340">
        <f t="shared" si="196"/>
        <v>0.12829972092053912</v>
      </c>
      <c r="O468" s="341">
        <f t="shared" si="197"/>
        <v>0.99928976800323766</v>
      </c>
      <c r="P468" s="342">
        <f t="shared" si="198"/>
        <v>6.5472869005256396E-2</v>
      </c>
      <c r="Q468" s="343">
        <f t="shared" si="199"/>
        <v>1.0259099178565745</v>
      </c>
      <c r="R468" s="344">
        <f t="shared" si="200"/>
        <v>-101.94617639418915</v>
      </c>
      <c r="S468" s="346">
        <f t="shared" si="201"/>
        <v>78.053823605810848</v>
      </c>
      <c r="U468" s="319">
        <f t="shared" si="207"/>
        <v>1000000000</v>
      </c>
      <c r="V468" s="319">
        <f t="shared" si="208"/>
        <v>2851293006.25</v>
      </c>
      <c r="X468" s="345">
        <f t="shared" si="202"/>
        <v>37.172098309896178</v>
      </c>
      <c r="Y468" s="346">
        <f t="shared" si="203"/>
        <v>-13.339112520291669</v>
      </c>
      <c r="AA468" s="345">
        <f t="shared" si="204"/>
        <v>20.65185862087716</v>
      </c>
      <c r="AB468" s="346">
        <f t="shared" si="205"/>
        <v>-88.607063873897516</v>
      </c>
      <c r="AD468">
        <f t="shared" si="209"/>
        <v>0</v>
      </c>
      <c r="AE468">
        <f t="shared" si="186"/>
        <v>0</v>
      </c>
    </row>
    <row r="469" spans="1:31" x14ac:dyDescent="0.2">
      <c r="A469" s="347">
        <v>53703</v>
      </c>
      <c r="B469" s="364">
        <f t="shared" si="206"/>
        <v>53.703000000000003</v>
      </c>
      <c r="C469" s="337">
        <f t="shared" si="187"/>
        <v>106.58482245561824</v>
      </c>
      <c r="D469" s="338">
        <f t="shared" si="188"/>
        <v>1.56141399028127</v>
      </c>
      <c r="E469" s="338">
        <f t="shared" si="189"/>
        <v>1.0032737010979205</v>
      </c>
      <c r="F469" s="339">
        <f t="shared" si="190"/>
        <v>8.0805879039899595E-2</v>
      </c>
      <c r="G469" s="338">
        <f t="shared" si="191"/>
        <v>1</v>
      </c>
      <c r="H469" s="339">
        <f t="shared" si="192"/>
        <v>0</v>
      </c>
      <c r="I469" s="337">
        <f t="shared" si="193"/>
        <v>10159.349972659931</v>
      </c>
      <c r="J469" s="340">
        <f t="shared" si="194"/>
        <v>1.5706978953003319</v>
      </c>
      <c r="K469" s="348">
        <f t="shared" si="184"/>
        <v>9.630903352623573</v>
      </c>
      <c r="L469" s="349">
        <f t="shared" si="185"/>
        <v>1.4667764234585161</v>
      </c>
      <c r="M469" s="337">
        <f t="shared" si="195"/>
        <v>1.0083819419092237</v>
      </c>
      <c r="N469" s="340">
        <f t="shared" si="196"/>
        <v>0.12902565778633077</v>
      </c>
      <c r="O469" s="341">
        <f t="shared" si="197"/>
        <v>0.99928166222343096</v>
      </c>
      <c r="P469" s="342">
        <f t="shared" si="198"/>
        <v>6.5848530802602487E-2</v>
      </c>
      <c r="Q469" s="343">
        <f t="shared" si="199"/>
        <v>0.97540029777707837</v>
      </c>
      <c r="R469" s="344">
        <f t="shared" si="200"/>
        <v>-101.95232628297036</v>
      </c>
      <c r="S469" s="346">
        <f t="shared" si="201"/>
        <v>78.047673717029639</v>
      </c>
      <c r="U469" s="319">
        <f t="shared" si="207"/>
        <v>1000000000</v>
      </c>
      <c r="V469" s="319">
        <f t="shared" si="208"/>
        <v>2884012209</v>
      </c>
      <c r="X469" s="345">
        <f t="shared" si="202"/>
        <v>37.170745273501353</v>
      </c>
      <c r="Y469" s="346">
        <f t="shared" si="203"/>
        <v>-13.346887392630727</v>
      </c>
      <c r="AA469" s="345">
        <f t="shared" si="204"/>
        <v>20.602702037192486</v>
      </c>
      <c r="AB469" s="346">
        <f t="shared" si="205"/>
        <v>-88.605438890339613</v>
      </c>
      <c r="AD469">
        <f t="shared" si="209"/>
        <v>0</v>
      </c>
      <c r="AE469">
        <f t="shared" si="186"/>
        <v>0</v>
      </c>
    </row>
    <row r="470" spans="1:31" x14ac:dyDescent="0.2">
      <c r="A470" s="347">
        <v>54015.75</v>
      </c>
      <c r="B470" s="364">
        <f t="shared" si="206"/>
        <v>54.015749999999997</v>
      </c>
      <c r="C470" s="337">
        <f t="shared" si="187"/>
        <v>107.20548568549874</v>
      </c>
      <c r="D470" s="338">
        <f t="shared" si="188"/>
        <v>1.5614683106422365</v>
      </c>
      <c r="E470" s="338">
        <f t="shared" si="189"/>
        <v>1.0033118790963385</v>
      </c>
      <c r="F470" s="339">
        <f t="shared" si="190"/>
        <v>8.1274404354937546E-2</v>
      </c>
      <c r="G470" s="338">
        <f t="shared" si="191"/>
        <v>1</v>
      </c>
      <c r="H470" s="339">
        <f t="shared" si="192"/>
        <v>0</v>
      </c>
      <c r="I470" s="337">
        <f t="shared" si="193"/>
        <v>10218.514948047788</v>
      </c>
      <c r="J470" s="340">
        <f t="shared" si="194"/>
        <v>1.5706984652165088</v>
      </c>
      <c r="K470" s="348">
        <f t="shared" si="184"/>
        <v>9.6863878588368912</v>
      </c>
      <c r="L470" s="349">
        <f t="shared" si="185"/>
        <v>1.4673743985983803</v>
      </c>
      <c r="M470" s="337">
        <f t="shared" si="195"/>
        <v>1.0084794423171008</v>
      </c>
      <c r="N470" s="340">
        <f t="shared" si="196"/>
        <v>0.12976868065207797</v>
      </c>
      <c r="O470" s="341">
        <f t="shared" si="197"/>
        <v>0.99927331722933843</v>
      </c>
      <c r="P470" s="342">
        <f t="shared" si="198"/>
        <v>6.6233126714781723E-2</v>
      </c>
      <c r="Q470" s="343">
        <f t="shared" si="199"/>
        <v>0.92399004534316032</v>
      </c>
      <c r="R470" s="344">
        <f t="shared" si="200"/>
        <v>-101.95897308615477</v>
      </c>
      <c r="S470" s="346">
        <f t="shared" si="201"/>
        <v>78.041026913845229</v>
      </c>
      <c r="U470" s="319">
        <f t="shared" si="207"/>
        <v>1000000000</v>
      </c>
      <c r="V470" s="319">
        <f t="shared" si="208"/>
        <v>2917701248.0625</v>
      </c>
      <c r="X470" s="345">
        <f t="shared" si="202"/>
        <v>37.169364815213143</v>
      </c>
      <c r="Y470" s="346">
        <f t="shared" si="203"/>
        <v>-13.355230668952945</v>
      </c>
      <c r="AA470" s="345">
        <f t="shared" si="204"/>
        <v>20.552672243046779</v>
      </c>
      <c r="AB470" s="346">
        <f t="shared" si="205"/>
        <v>-88.603742417201815</v>
      </c>
      <c r="AD470">
        <f t="shared" si="209"/>
        <v>0</v>
      </c>
      <c r="AE470">
        <f t="shared" si="186"/>
        <v>0</v>
      </c>
    </row>
    <row r="471" spans="1:31" x14ac:dyDescent="0.2">
      <c r="A471" s="347">
        <v>54328.5</v>
      </c>
      <c r="B471" s="364">
        <f t="shared" si="206"/>
        <v>54.328499999999998</v>
      </c>
      <c r="C471" s="337">
        <f t="shared" si="187"/>
        <v>107.82614922806896</v>
      </c>
      <c r="D471" s="338">
        <f t="shared" si="188"/>
        <v>1.5615220056510142</v>
      </c>
      <c r="E471" s="338">
        <f t="shared" si="189"/>
        <v>1.0033502773209486</v>
      </c>
      <c r="F471" s="339">
        <f t="shared" si="190"/>
        <v>8.1742893911873407E-2</v>
      </c>
      <c r="G471" s="338">
        <f t="shared" si="191"/>
        <v>1</v>
      </c>
      <c r="H471" s="339">
        <f t="shared" si="192"/>
        <v>0</v>
      </c>
      <c r="I471" s="337">
        <f t="shared" si="193"/>
        <v>10277.679923438925</v>
      </c>
      <c r="J471" s="340">
        <f t="shared" si="194"/>
        <v>1.5706990285710731</v>
      </c>
      <c r="K471" s="348">
        <f t="shared" ref="K471:K534" si="210">SQRT(1+(A471/Zero2)^2)</f>
        <v>9.7418757891988825</v>
      </c>
      <c r="L471" s="349">
        <f t="shared" ref="L471:L534" si="211">ATAN(A471/Zero2)</f>
        <v>1.4679655620350889</v>
      </c>
      <c r="M471" s="337">
        <f t="shared" si="195"/>
        <v>1.0085774993814873</v>
      </c>
      <c r="N471" s="340">
        <f t="shared" si="196"/>
        <v>0.13051155944986784</v>
      </c>
      <c r="O471" s="341">
        <f t="shared" si="197"/>
        <v>0.99926492485302998</v>
      </c>
      <c r="P471" s="342">
        <f t="shared" si="198"/>
        <v>6.6617742025738544E-2</v>
      </c>
      <c r="Q471" s="343">
        <f t="shared" si="199"/>
        <v>0.87287774449466904</v>
      </c>
      <c r="R471" s="344">
        <f t="shared" si="200"/>
        <v>-101.96596887095838</v>
      </c>
      <c r="S471" s="346">
        <f t="shared" si="201"/>
        <v>78.034031129041622</v>
      </c>
      <c r="U471" s="319">
        <f t="shared" si="207"/>
        <v>1000000000</v>
      </c>
      <c r="V471" s="319">
        <f t="shared" si="208"/>
        <v>2951585912.25</v>
      </c>
      <c r="X471" s="345">
        <f t="shared" si="202"/>
        <v>37.167988888862496</v>
      </c>
      <c r="Y471" s="346">
        <f t="shared" si="203"/>
        <v>-13.363955596679082</v>
      </c>
      <c r="AA471" s="345">
        <f t="shared" si="204"/>
        <v>20.502935868548935</v>
      </c>
      <c r="AB471" s="346">
        <f t="shared" si="205"/>
        <v>-88.602013274279287</v>
      </c>
      <c r="AD471">
        <f t="shared" si="209"/>
        <v>0</v>
      </c>
      <c r="AE471">
        <f t="shared" si="186"/>
        <v>0</v>
      </c>
    </row>
    <row r="472" spans="1:31" x14ac:dyDescent="0.2">
      <c r="A472" s="347">
        <v>54641.25</v>
      </c>
      <c r="B472" s="364">
        <f t="shared" si="206"/>
        <v>54.641249999999999</v>
      </c>
      <c r="C472" s="337">
        <f t="shared" si="187"/>
        <v>108.4468130779601</v>
      </c>
      <c r="D472" s="338">
        <f t="shared" si="188"/>
        <v>1.561575086044356</v>
      </c>
      <c r="E472" s="338">
        <f t="shared" si="189"/>
        <v>1.0033888957464678</v>
      </c>
      <c r="F472" s="339">
        <f t="shared" si="190"/>
        <v>8.2211347509173804E-2</v>
      </c>
      <c r="G472" s="338">
        <f t="shared" si="191"/>
        <v>1</v>
      </c>
      <c r="H472" s="339">
        <f t="shared" si="192"/>
        <v>0</v>
      </c>
      <c r="I472" s="337">
        <f t="shared" si="193"/>
        <v>10336.844898833288</v>
      </c>
      <c r="J472" s="340">
        <f t="shared" si="194"/>
        <v>1.570699585476695</v>
      </c>
      <c r="K472" s="348">
        <f t="shared" si="210"/>
        <v>9.7973670855309827</v>
      </c>
      <c r="L472" s="349">
        <f t="shared" si="211"/>
        <v>1.4685500290942914</v>
      </c>
      <c r="M472" s="337">
        <f t="shared" si="195"/>
        <v>1.0086761129400397</v>
      </c>
      <c r="N472" s="340">
        <f t="shared" si="196"/>
        <v>0.13125429340189307</v>
      </c>
      <c r="O472" s="341">
        <f t="shared" si="197"/>
        <v>0.99925648511321263</v>
      </c>
      <c r="P472" s="342">
        <f t="shared" si="198"/>
        <v>6.7002376847559844E-2</v>
      </c>
      <c r="Q472" s="343">
        <f t="shared" si="199"/>
        <v>0.82205984699619206</v>
      </c>
      <c r="R472" s="344">
        <f t="shared" si="200"/>
        <v>-101.97330762473834</v>
      </c>
      <c r="S472" s="346">
        <f t="shared" si="201"/>
        <v>78.026692375261661</v>
      </c>
      <c r="U472" s="319">
        <f t="shared" si="207"/>
        <v>1000000000</v>
      </c>
      <c r="V472" s="319">
        <f t="shared" si="208"/>
        <v>2985666201.5625</v>
      </c>
      <c r="X472" s="345">
        <f t="shared" si="202"/>
        <v>37.166617288021591</v>
      </c>
      <c r="Y472" s="346">
        <f t="shared" si="203"/>
        <v>-13.373055530026583</v>
      </c>
      <c r="AA472" s="345">
        <f t="shared" si="204"/>
        <v>20.453489571891367</v>
      </c>
      <c r="AB472" s="346">
        <f t="shared" si="205"/>
        <v>-88.600252094711749</v>
      </c>
      <c r="AD472">
        <f t="shared" si="209"/>
        <v>0</v>
      </c>
      <c r="AE472">
        <f t="shared" si="186"/>
        <v>0</v>
      </c>
    </row>
    <row r="473" spans="1:31" x14ac:dyDescent="0.2">
      <c r="A473" s="347">
        <v>54954</v>
      </c>
      <c r="B473" s="364">
        <f t="shared" si="206"/>
        <v>54.954000000000001</v>
      </c>
      <c r="C473" s="337">
        <f t="shared" si="187"/>
        <v>109.06747722992561</v>
      </c>
      <c r="D473" s="338">
        <f t="shared" si="188"/>
        <v>1.5616275623146325</v>
      </c>
      <c r="E473" s="338">
        <f t="shared" si="189"/>
        <v>1.003427734347472</v>
      </c>
      <c r="F473" s="339">
        <f t="shared" si="190"/>
        <v>8.2679764945399373E-2</v>
      </c>
      <c r="G473" s="338">
        <f t="shared" si="191"/>
        <v>1</v>
      </c>
      <c r="H473" s="339">
        <f t="shared" si="192"/>
        <v>0</v>
      </c>
      <c r="I473" s="337">
        <f t="shared" si="193"/>
        <v>10396.009874230818</v>
      </c>
      <c r="J473" s="340">
        <f t="shared" si="194"/>
        <v>1.5707001360434796</v>
      </c>
      <c r="K473" s="348">
        <f t="shared" si="210"/>
        <v>9.8528616909617828</v>
      </c>
      <c r="L473" s="349">
        <f t="shared" si="211"/>
        <v>1.469127912521965</v>
      </c>
      <c r="M473" s="337">
        <f t="shared" si="195"/>
        <v>1.0087752828295558</v>
      </c>
      <c r="N473" s="340">
        <f t="shared" si="196"/>
        <v>0.13199688173128901</v>
      </c>
      <c r="O473" s="341">
        <f t="shared" si="197"/>
        <v>0.99924799802870234</v>
      </c>
      <c r="P473" s="342">
        <f t="shared" si="198"/>
        <v>6.7387031292328384E-2</v>
      </c>
      <c r="Q473" s="343">
        <f t="shared" si="199"/>
        <v>0.77153286768764273</v>
      </c>
      <c r="R473" s="344">
        <f t="shared" si="200"/>
        <v>-101.98098346855555</v>
      </c>
      <c r="S473" s="346">
        <f t="shared" si="201"/>
        <v>78.01901653144445</v>
      </c>
      <c r="U473" s="319">
        <f t="shared" si="207"/>
        <v>1000000000</v>
      </c>
      <c r="V473" s="319">
        <f t="shared" si="208"/>
        <v>3019942116</v>
      </c>
      <c r="X473" s="345">
        <f t="shared" si="202"/>
        <v>37.16524981215148</v>
      </c>
      <c r="Y473" s="346">
        <f t="shared" si="203"/>
        <v>-13.382523970924323</v>
      </c>
      <c r="AA473" s="345">
        <f t="shared" si="204"/>
        <v>20.404330068452921</v>
      </c>
      <c r="AB473" s="346">
        <f t="shared" si="205"/>
        <v>-88.598459497631254</v>
      </c>
      <c r="AD473">
        <f t="shared" si="209"/>
        <v>0</v>
      </c>
      <c r="AE473">
        <f t="shared" si="186"/>
        <v>0</v>
      </c>
    </row>
    <row r="474" spans="1:31" x14ac:dyDescent="0.2">
      <c r="A474" s="347">
        <v>55274</v>
      </c>
      <c r="B474" s="364">
        <f t="shared" si="206"/>
        <v>55.274000000000001</v>
      </c>
      <c r="C474" s="337">
        <f t="shared" si="187"/>
        <v>109.70252958720984</v>
      </c>
      <c r="D474" s="338">
        <f t="shared" si="188"/>
        <v>1.5616806404639918</v>
      </c>
      <c r="E474" s="338">
        <f t="shared" si="189"/>
        <v>1.0034677011477104</v>
      </c>
      <c r="F474" s="339">
        <f t="shared" si="190"/>
        <v>8.3159003341067045E-2</v>
      </c>
      <c r="G474" s="338">
        <f t="shared" si="191"/>
        <v>1</v>
      </c>
      <c r="H474" s="339">
        <f t="shared" si="192"/>
        <v>0</v>
      </c>
      <c r="I474" s="337">
        <f t="shared" si="193"/>
        <v>10456.546379836633</v>
      </c>
      <c r="J474" s="340">
        <f t="shared" si="194"/>
        <v>1.5707006929244771</v>
      </c>
      <c r="K474" s="348">
        <f t="shared" si="210"/>
        <v>9.9096461091482855</v>
      </c>
      <c r="L474" s="349">
        <f t="shared" si="211"/>
        <v>1.4697124927679555</v>
      </c>
      <c r="M474" s="337">
        <f t="shared" si="195"/>
        <v>1.0088773272755496</v>
      </c>
      <c r="N474" s="340">
        <f t="shared" si="196"/>
        <v>0.13275653280382504</v>
      </c>
      <c r="O474" s="341">
        <f t="shared" si="197"/>
        <v>0.99923926521727313</v>
      </c>
      <c r="P474" s="342">
        <f t="shared" si="198"/>
        <v>6.7780623014190466E-2</v>
      </c>
      <c r="Q474" s="343">
        <f t="shared" si="199"/>
        <v>0.72013214114676316</v>
      </c>
      <c r="R474" s="344">
        <f t="shared" si="200"/>
        <v>-101.98918015597698</v>
      </c>
      <c r="S474" s="346">
        <f t="shared" si="201"/>
        <v>78.010819844023018</v>
      </c>
      <c r="U474" s="319">
        <f t="shared" si="207"/>
        <v>1000000000</v>
      </c>
      <c r="V474" s="319">
        <f t="shared" si="208"/>
        <v>3055215076</v>
      </c>
      <c r="X474" s="345">
        <f t="shared" si="202"/>
        <v>37.163854702515515</v>
      </c>
      <c r="Y474" s="346">
        <f t="shared" si="203"/>
        <v>-13.392586697343585</v>
      </c>
      <c r="AA474" s="345">
        <f t="shared" si="204"/>
        <v>20.354324451548006</v>
      </c>
      <c r="AB474" s="346">
        <f t="shared" si="205"/>
        <v>-88.596593458633379</v>
      </c>
      <c r="AD474">
        <f t="shared" si="209"/>
        <v>0</v>
      </c>
      <c r="AE474">
        <f t="shared" ref="AE474:AE537" si="212">IF(AD474&gt;0,S474,0)</f>
        <v>0</v>
      </c>
    </row>
    <row r="475" spans="1:31" x14ac:dyDescent="0.2">
      <c r="A475" s="347">
        <v>55594</v>
      </c>
      <c r="B475" s="364">
        <f t="shared" si="206"/>
        <v>55.594000000000001</v>
      </c>
      <c r="C475" s="337">
        <f t="shared" si="187"/>
        <v>110.33758225000025</v>
      </c>
      <c r="D475" s="338">
        <f t="shared" si="188"/>
        <v>1.5617331076263905</v>
      </c>
      <c r="E475" s="338">
        <f t="shared" si="189"/>
        <v>1.0035078983954253</v>
      </c>
      <c r="F475" s="339">
        <f t="shared" si="190"/>
        <v>8.3638203453336335E-2</v>
      </c>
      <c r="G475" s="338">
        <f t="shared" si="191"/>
        <v>1</v>
      </c>
      <c r="H475" s="339">
        <f t="shared" si="192"/>
        <v>0</v>
      </c>
      <c r="I475" s="337">
        <f t="shared" si="193"/>
        <v>10517.082885445652</v>
      </c>
      <c r="J475" s="340">
        <f t="shared" si="194"/>
        <v>1.5707012433946421</v>
      </c>
      <c r="K475" s="348">
        <f t="shared" si="210"/>
        <v>9.9664338752085566</v>
      </c>
      <c r="L475" s="349">
        <f t="shared" si="211"/>
        <v>1.4702904114473645</v>
      </c>
      <c r="M475" s="337">
        <f t="shared" si="195"/>
        <v>1.0089799537961748</v>
      </c>
      <c r="N475" s="340">
        <f t="shared" si="196"/>
        <v>0.13351602978157587</v>
      </c>
      <c r="O475" s="341">
        <f t="shared" si="197"/>
        <v>0.99923048288087313</v>
      </c>
      <c r="P475" s="342">
        <f t="shared" si="198"/>
        <v>6.8174235516707204E-2</v>
      </c>
      <c r="Q475" s="343">
        <f t="shared" si="199"/>
        <v>0.66902879095120282</v>
      </c>
      <c r="R475" s="344">
        <f t="shared" si="200"/>
        <v>-101.99771770390115</v>
      </c>
      <c r="S475" s="346">
        <f t="shared" si="201"/>
        <v>78.002282296098855</v>
      </c>
      <c r="U475" s="319">
        <f t="shared" si="207"/>
        <v>1000000000</v>
      </c>
      <c r="V475" s="319">
        <f t="shared" si="208"/>
        <v>3090692836</v>
      </c>
      <c r="X475" s="345">
        <f t="shared" si="202"/>
        <v>37.162463504597653</v>
      </c>
      <c r="Y475" s="346">
        <f t="shared" si="203"/>
        <v>-13.403021907118868</v>
      </c>
      <c r="AA475" s="345">
        <f t="shared" si="204"/>
        <v>20.30461229927031</v>
      </c>
      <c r="AB475" s="346">
        <f t="shared" si="205"/>
        <v>-88.594695796782247</v>
      </c>
      <c r="AD475">
        <f t="shared" si="209"/>
        <v>0</v>
      </c>
      <c r="AE475">
        <f t="shared" si="212"/>
        <v>0</v>
      </c>
    </row>
    <row r="476" spans="1:31" x14ac:dyDescent="0.2">
      <c r="A476" s="347">
        <v>55914</v>
      </c>
      <c r="B476" s="364">
        <f t="shared" si="206"/>
        <v>55.914000000000001</v>
      </c>
      <c r="C476" s="337">
        <f t="shared" si="187"/>
        <v>110.97263521305197</v>
      </c>
      <c r="D476" s="338">
        <f t="shared" si="188"/>
        <v>1.5617849742908552</v>
      </c>
      <c r="E476" s="338">
        <f t="shared" si="189"/>
        <v>1.0035483260629248</v>
      </c>
      <c r="F476" s="339">
        <f t="shared" si="190"/>
        <v>8.4117365066740751E-2</v>
      </c>
      <c r="G476" s="338">
        <f t="shared" si="191"/>
        <v>1</v>
      </c>
      <c r="H476" s="339">
        <f t="shared" si="192"/>
        <v>0</v>
      </c>
      <c r="I476" s="337">
        <f t="shared" si="193"/>
        <v>10577.619391057822</v>
      </c>
      <c r="J476" s="340">
        <f t="shared" si="194"/>
        <v>1.5707017875640432</v>
      </c>
      <c r="K476" s="348">
        <f t="shared" si="210"/>
        <v>10.023224932239264</v>
      </c>
      <c r="L476" s="349">
        <f t="shared" si="211"/>
        <v>1.4708617814030764</v>
      </c>
      <c r="M476" s="337">
        <f t="shared" si="195"/>
        <v>1.0090831622138356</v>
      </c>
      <c r="N476" s="340">
        <f t="shared" si="196"/>
        <v>0.13427537183548152</v>
      </c>
      <c r="O476" s="341">
        <f t="shared" si="197"/>
        <v>0.99922165104001115</v>
      </c>
      <c r="P476" s="342">
        <f t="shared" si="198"/>
        <v>6.8567868919924432E-2</v>
      </c>
      <c r="Q476" s="343">
        <f t="shared" si="199"/>
        <v>0.61821927933518606</v>
      </c>
      <c r="R476" s="344">
        <f t="shared" si="200"/>
        <v>-102.00659022591221</v>
      </c>
      <c r="S476" s="346">
        <f t="shared" si="201"/>
        <v>77.993409774087795</v>
      </c>
      <c r="U476" s="319">
        <f t="shared" si="207"/>
        <v>1000000000</v>
      </c>
      <c r="V476" s="319">
        <f t="shared" si="208"/>
        <v>3126375396</v>
      </c>
      <c r="X476" s="345">
        <f t="shared" si="202"/>
        <v>37.161076021473491</v>
      </c>
      <c r="Y476" s="346">
        <f t="shared" si="203"/>
        <v>-13.413823093633948</v>
      </c>
      <c r="AA476" s="345">
        <f t="shared" si="204"/>
        <v>20.255190270778456</v>
      </c>
      <c r="AB476" s="346">
        <f t="shared" si="205"/>
        <v>-88.592767132278254</v>
      </c>
      <c r="AD476">
        <f t="shared" si="209"/>
        <v>0</v>
      </c>
      <c r="AE476">
        <f t="shared" si="212"/>
        <v>0</v>
      </c>
    </row>
    <row r="477" spans="1:31" x14ac:dyDescent="0.2">
      <c r="A477" s="347">
        <v>56234</v>
      </c>
      <c r="B477" s="364">
        <f t="shared" si="206"/>
        <v>56.234000000000002</v>
      </c>
      <c r="C477" s="337">
        <f t="shared" si="187"/>
        <v>111.60768847123947</v>
      </c>
      <c r="D477" s="338">
        <f t="shared" si="188"/>
        <v>1.5618362507076928</v>
      </c>
      <c r="E477" s="338">
        <f t="shared" si="189"/>
        <v>1.0035889841223629</v>
      </c>
      <c r="F477" s="339">
        <f t="shared" si="190"/>
        <v>8.459648796591919E-2</v>
      </c>
      <c r="G477" s="338">
        <f t="shared" si="191"/>
        <v>1</v>
      </c>
      <c r="H477" s="339">
        <f t="shared" si="192"/>
        <v>0</v>
      </c>
      <c r="I477" s="337">
        <f t="shared" si="193"/>
        <v>10638.15589667309</v>
      </c>
      <c r="J477" s="340">
        <f t="shared" si="194"/>
        <v>1.5707023255402444</v>
      </c>
      <c r="K477" s="348">
        <f t="shared" si="210"/>
        <v>10.080019224616207</v>
      </c>
      <c r="L477" s="349">
        <f t="shared" si="211"/>
        <v>1.471426712952119</v>
      </c>
      <c r="M477" s="337">
        <f t="shared" si="195"/>
        <v>1.0091869523500026</v>
      </c>
      <c r="N477" s="340">
        <f t="shared" si="196"/>
        <v>0.13503455813753482</v>
      </c>
      <c r="O477" s="341">
        <f t="shared" si="197"/>
        <v>0.99921276971531492</v>
      </c>
      <c r="P477" s="342">
        <f t="shared" si="198"/>
        <v>6.8961523343883308E-2</v>
      </c>
      <c r="Q477" s="343">
        <f t="shared" si="199"/>
        <v>0.56770013132881303</v>
      </c>
      <c r="R477" s="344">
        <f t="shared" si="200"/>
        <v>-102.01579196654826</v>
      </c>
      <c r="S477" s="346">
        <f t="shared" si="201"/>
        <v>77.984208033451736</v>
      </c>
      <c r="U477" s="319">
        <f t="shared" si="207"/>
        <v>1000000000</v>
      </c>
      <c r="V477" s="319">
        <f t="shared" si="208"/>
        <v>3162262756</v>
      </c>
      <c r="X477" s="345">
        <f t="shared" si="202"/>
        <v>37.159692061851175</v>
      </c>
      <c r="Y477" s="346">
        <f t="shared" si="203"/>
        <v>-13.424983894910376</v>
      </c>
      <c r="AA477" s="345">
        <f t="shared" si="204"/>
        <v>20.2060550823944</v>
      </c>
      <c r="AB477" s="346">
        <f t="shared" si="205"/>
        <v>-88.590808071637881</v>
      </c>
      <c r="AD477">
        <f t="shared" si="209"/>
        <v>0</v>
      </c>
      <c r="AE477">
        <f t="shared" si="212"/>
        <v>0</v>
      </c>
    </row>
    <row r="478" spans="1:31" x14ac:dyDescent="0.2">
      <c r="A478" s="347">
        <v>56561.5</v>
      </c>
      <c r="B478" s="364">
        <f t="shared" si="206"/>
        <v>56.561500000000002</v>
      </c>
      <c r="C478" s="337">
        <f t="shared" si="187"/>
        <v>112.25762609053163</v>
      </c>
      <c r="D478" s="338">
        <f t="shared" si="188"/>
        <v>1.5618881282078685</v>
      </c>
      <c r="E478" s="338">
        <f t="shared" si="189"/>
        <v>1.0036308336307835</v>
      </c>
      <c r="F478" s="339">
        <f t="shared" si="190"/>
        <v>8.5086799997518447E-2</v>
      </c>
      <c r="G478" s="338">
        <f t="shared" si="191"/>
        <v>1</v>
      </c>
      <c r="H478" s="339">
        <f t="shared" si="192"/>
        <v>0</v>
      </c>
      <c r="I478" s="337">
        <f t="shared" si="193"/>
        <v>10700.111226641866</v>
      </c>
      <c r="J478" s="340">
        <f t="shared" si="194"/>
        <v>1.5707028698223218</v>
      </c>
      <c r="K478" s="348">
        <f t="shared" si="210"/>
        <v>10.138147926458258</v>
      </c>
      <c r="L478" s="349">
        <f t="shared" si="211"/>
        <v>1.4719983310997535</v>
      </c>
      <c r="M478" s="337">
        <f t="shared" si="195"/>
        <v>1.0092937772095283</v>
      </c>
      <c r="N478" s="340">
        <f t="shared" si="196"/>
        <v>0.13581137573532859</v>
      </c>
      <c r="O478" s="341">
        <f t="shared" si="197"/>
        <v>0.99920362901913062</v>
      </c>
      <c r="P478" s="342">
        <f t="shared" si="198"/>
        <v>6.9364425934189761E-2</v>
      </c>
      <c r="Q478" s="343">
        <f t="shared" si="199"/>
        <v>0.5162940303925625</v>
      </c>
      <c r="R478" s="344">
        <f t="shared" si="200"/>
        <v>-102.02554438381392</v>
      </c>
      <c r="S478" s="346">
        <f t="shared" si="201"/>
        <v>77.974455616186077</v>
      </c>
      <c r="U478" s="319">
        <f t="shared" si="207"/>
        <v>1000000000</v>
      </c>
      <c r="V478" s="319">
        <f t="shared" si="208"/>
        <v>3199203282.25</v>
      </c>
      <c r="X478" s="345">
        <f t="shared" si="202"/>
        <v>37.158279120114855</v>
      </c>
      <c r="Y478" s="346">
        <f t="shared" si="203"/>
        <v>-13.436772142442278</v>
      </c>
      <c r="AA478" s="345">
        <f t="shared" si="204"/>
        <v>20.156061923194464</v>
      </c>
      <c r="AB478" s="346">
        <f t="shared" si="205"/>
        <v>-88.588772241371629</v>
      </c>
      <c r="AD478">
        <f t="shared" si="209"/>
        <v>0</v>
      </c>
      <c r="AE478">
        <f t="shared" si="212"/>
        <v>0</v>
      </c>
    </row>
    <row r="479" spans="1:31" x14ac:dyDescent="0.2">
      <c r="A479" s="347">
        <v>56889</v>
      </c>
      <c r="B479" s="364">
        <f t="shared" si="206"/>
        <v>56.889000000000003</v>
      </c>
      <c r="C479" s="337">
        <f t="shared" si="187"/>
        <v>112.90756400846178</v>
      </c>
      <c r="D479" s="338">
        <f t="shared" si="188"/>
        <v>1.5619394084558225</v>
      </c>
      <c r="E479" s="338">
        <f t="shared" si="189"/>
        <v>1.0036729243978113</v>
      </c>
      <c r="F479" s="339">
        <f t="shared" si="190"/>
        <v>8.5577071022800516E-2</v>
      </c>
      <c r="G479" s="338">
        <f t="shared" si="191"/>
        <v>1</v>
      </c>
      <c r="H479" s="339">
        <f t="shared" si="192"/>
        <v>0</v>
      </c>
      <c r="I479" s="337">
        <f t="shared" si="193"/>
        <v>10762.066556613774</v>
      </c>
      <c r="J479" s="340">
        <f t="shared" si="194"/>
        <v>1.5707034078377262</v>
      </c>
      <c r="K479" s="348">
        <f t="shared" si="210"/>
        <v>10.19627990314199</v>
      </c>
      <c r="L479" s="349">
        <f t="shared" si="211"/>
        <v>1.4725634315054814</v>
      </c>
      <c r="M479" s="337">
        <f t="shared" si="195"/>
        <v>1.0094012109937966</v>
      </c>
      <c r="N479" s="340">
        <f t="shared" si="196"/>
        <v>0.13658802844336729</v>
      </c>
      <c r="O479" s="341">
        <f t="shared" si="197"/>
        <v>0.99919443653647677</v>
      </c>
      <c r="P479" s="342">
        <f t="shared" si="198"/>
        <v>6.9767350796531916E-2</v>
      </c>
      <c r="Q479" s="343">
        <f t="shared" si="199"/>
        <v>0.46518489362124826</v>
      </c>
      <c r="R479" s="344">
        <f t="shared" si="200"/>
        <v>-102.03562983919315</v>
      </c>
      <c r="S479" s="346">
        <f t="shared" si="201"/>
        <v>77.964370160806851</v>
      </c>
      <c r="U479" s="319">
        <f t="shared" si="207"/>
        <v>1000000000</v>
      </c>
      <c r="V479" s="319">
        <f t="shared" si="208"/>
        <v>3236358321</v>
      </c>
      <c r="X479" s="345">
        <f t="shared" si="202"/>
        <v>37.156869480823957</v>
      </c>
      <c r="Y479" s="346">
        <f t="shared" si="203"/>
        <v>-13.448924022536845</v>
      </c>
      <c r="AA479" s="345">
        <f t="shared" si="204"/>
        <v>20.106362425714053</v>
      </c>
      <c r="AB479" s="346">
        <f t="shared" si="205"/>
        <v>-88.586705816656291</v>
      </c>
      <c r="AD479">
        <f t="shared" si="209"/>
        <v>0</v>
      </c>
      <c r="AE479">
        <f t="shared" si="212"/>
        <v>0</v>
      </c>
    </row>
    <row r="480" spans="1:31" x14ac:dyDescent="0.2">
      <c r="A480" s="347">
        <v>57216.5</v>
      </c>
      <c r="B480" s="364">
        <f t="shared" si="206"/>
        <v>57.216500000000003</v>
      </c>
      <c r="C480" s="337">
        <f t="shared" si="187"/>
        <v>113.55750221990216</v>
      </c>
      <c r="D480" s="338">
        <f t="shared" si="188"/>
        <v>1.5619901017062732</v>
      </c>
      <c r="E480" s="338">
        <f t="shared" si="189"/>
        <v>1.0037152563930953</v>
      </c>
      <c r="F480" s="339">
        <f t="shared" si="190"/>
        <v>8.6067300811250441E-2</v>
      </c>
      <c r="G480" s="338">
        <f t="shared" si="191"/>
        <v>1</v>
      </c>
      <c r="H480" s="339">
        <f t="shared" si="192"/>
        <v>0</v>
      </c>
      <c r="I480" s="337">
        <f t="shared" si="193"/>
        <v>10824.021886588764</v>
      </c>
      <c r="J480" s="340">
        <f t="shared" si="194"/>
        <v>1.5707039396940665</v>
      </c>
      <c r="K480" s="348">
        <f t="shared" si="210"/>
        <v>10.254415098972462</v>
      </c>
      <c r="L480" s="349">
        <f t="shared" si="211"/>
        <v>1.4731221246580795</v>
      </c>
      <c r="M480" s="337">
        <f t="shared" si="195"/>
        <v>1.0095092535083985</v>
      </c>
      <c r="N480" s="340">
        <f t="shared" si="196"/>
        <v>0.13736451537750735</v>
      </c>
      <c r="O480" s="341">
        <f t="shared" si="197"/>
        <v>0.99918519228985425</v>
      </c>
      <c r="P480" s="342">
        <f t="shared" si="198"/>
        <v>7.017029805957524E-2</v>
      </c>
      <c r="Q480" s="343">
        <f t="shared" si="199"/>
        <v>0.4143691906892869</v>
      </c>
      <c r="R480" s="344">
        <f t="shared" si="200"/>
        <v>-102.04604256578477</v>
      </c>
      <c r="S480" s="346">
        <f t="shared" si="201"/>
        <v>77.953957434215226</v>
      </c>
      <c r="U480" s="319">
        <f t="shared" si="207"/>
        <v>1000000000</v>
      </c>
      <c r="V480" s="319">
        <f t="shared" si="208"/>
        <v>3273727872.25</v>
      </c>
      <c r="X480" s="345">
        <f t="shared" si="202"/>
        <v>37.155462956041546</v>
      </c>
      <c r="Y480" s="346">
        <f t="shared" si="203"/>
        <v>-13.461433160161294</v>
      </c>
      <c r="AA480" s="345">
        <f t="shared" si="204"/>
        <v>20.056953247564504</v>
      </c>
      <c r="AB480" s="346">
        <f t="shared" si="205"/>
        <v>-88.584609405623482</v>
      </c>
      <c r="AD480">
        <f t="shared" si="209"/>
        <v>0</v>
      </c>
      <c r="AE480">
        <f t="shared" si="212"/>
        <v>0</v>
      </c>
    </row>
    <row r="481" spans="1:31" x14ac:dyDescent="0.2">
      <c r="A481" s="347">
        <v>57544</v>
      </c>
      <c r="B481" s="364">
        <f t="shared" si="206"/>
        <v>57.543999999999997</v>
      </c>
      <c r="C481" s="337">
        <f t="shared" si="187"/>
        <v>114.20744071984184</v>
      </c>
      <c r="D481" s="338">
        <f t="shared" si="188"/>
        <v>1.5620402179805186</v>
      </c>
      <c r="E481" s="338">
        <f t="shared" si="189"/>
        <v>1.0037578295861147</v>
      </c>
      <c r="F481" s="339">
        <f t="shared" si="190"/>
        <v>8.6557489132471313E-2</v>
      </c>
      <c r="G481" s="338">
        <f t="shared" si="191"/>
        <v>1</v>
      </c>
      <c r="H481" s="339">
        <f t="shared" si="192"/>
        <v>0</v>
      </c>
      <c r="I481" s="337">
        <f t="shared" si="193"/>
        <v>10885.977216566778</v>
      </c>
      <c r="J481" s="340">
        <f t="shared" si="194"/>
        <v>1.5707044654965021</v>
      </c>
      <c r="K481" s="348">
        <f t="shared" si="210"/>
        <v>10.312553459507564</v>
      </c>
      <c r="L481" s="349">
        <f t="shared" si="211"/>
        <v>1.473674518570953</v>
      </c>
      <c r="M481" s="337">
        <f t="shared" si="195"/>
        <v>1.0096179045579077</v>
      </c>
      <c r="N481" s="340">
        <f t="shared" si="196"/>
        <v>0.13814083565478219</v>
      </c>
      <c r="O481" s="341">
        <f t="shared" si="197"/>
        <v>0.99917589630189485</v>
      </c>
      <c r="P481" s="342">
        <f t="shared" si="198"/>
        <v>7.057326785197994E-2</v>
      </c>
      <c r="Q481" s="343">
        <f t="shared" si="199"/>
        <v>0.36384345386082984</v>
      </c>
      <c r="R481" s="344">
        <f t="shared" si="200"/>
        <v>-102.05677692506204</v>
      </c>
      <c r="S481" s="346">
        <f t="shared" si="201"/>
        <v>77.943223074937961</v>
      </c>
      <c r="U481" s="319">
        <f t="shared" si="207"/>
        <v>1000000000</v>
      </c>
      <c r="V481" s="319">
        <f t="shared" si="208"/>
        <v>3311311936</v>
      </c>
      <c r="X481" s="345">
        <f t="shared" si="202"/>
        <v>37.154059363223276</v>
      </c>
      <c r="Y481" s="346">
        <f t="shared" si="203"/>
        <v>-13.474293322038308</v>
      </c>
      <c r="AA481" s="345">
        <f t="shared" si="204"/>
        <v>20.007831103554317</v>
      </c>
      <c r="AB481" s="346">
        <f t="shared" si="205"/>
        <v>-88.582483603023718</v>
      </c>
      <c r="AD481">
        <f t="shared" si="209"/>
        <v>0</v>
      </c>
      <c r="AE481">
        <f t="shared" si="212"/>
        <v>0</v>
      </c>
    </row>
    <row r="482" spans="1:31" x14ac:dyDescent="0.2">
      <c r="A482" s="347">
        <v>57879</v>
      </c>
      <c r="B482" s="364">
        <f t="shared" si="206"/>
        <v>57.878999999999998</v>
      </c>
      <c r="C482" s="337">
        <f t="shared" si="187"/>
        <v>114.87226360094654</v>
      </c>
      <c r="D482" s="338">
        <f t="shared" si="188"/>
        <v>1.56209089521794</v>
      </c>
      <c r="E482" s="338">
        <f t="shared" si="189"/>
        <v>1.0038016272521595</v>
      </c>
      <c r="F482" s="339">
        <f t="shared" si="190"/>
        <v>8.70588599978213E-2</v>
      </c>
      <c r="G482" s="338">
        <f t="shared" si="191"/>
        <v>1</v>
      </c>
      <c r="H482" s="339">
        <f t="shared" si="192"/>
        <v>0</v>
      </c>
      <c r="I482" s="337">
        <f t="shared" si="193"/>
        <v>10949.351370898516</v>
      </c>
      <c r="J482" s="340">
        <f t="shared" si="194"/>
        <v>1.570704997183898</v>
      </c>
      <c r="K482" s="348">
        <f t="shared" si="210"/>
        <v>10.372026451645318</v>
      </c>
      <c r="L482" s="349">
        <f t="shared" si="211"/>
        <v>1.474233155530654</v>
      </c>
      <c r="M482" s="337">
        <f t="shared" si="195"/>
        <v>1.0097296731929397</v>
      </c>
      <c r="N482" s="340">
        <f t="shared" si="196"/>
        <v>0.13893476091433429</v>
      </c>
      <c r="O482" s="341">
        <f t="shared" si="197"/>
        <v>0.99916633392016729</v>
      </c>
      <c r="P482" s="342">
        <f t="shared" si="198"/>
        <v>7.0985489403543739E-2</v>
      </c>
      <c r="Q482" s="343">
        <f t="shared" si="199"/>
        <v>0.31245709081062789</v>
      </c>
      <c r="R482" s="344">
        <f t="shared" si="200"/>
        <v>-102.06808412746422</v>
      </c>
      <c r="S482" s="346">
        <f t="shared" si="201"/>
        <v>77.931915872535782</v>
      </c>
      <c r="U482" s="319">
        <f t="shared" si="207"/>
        <v>1000000000</v>
      </c>
      <c r="V482" s="319">
        <f t="shared" si="208"/>
        <v>3349978641</v>
      </c>
      <c r="X482" s="345">
        <f t="shared" si="202"/>
        <v>37.152626475667155</v>
      </c>
      <c r="Y482" s="346">
        <f t="shared" si="203"/>
        <v>-13.487804812047827</v>
      </c>
      <c r="AA482" s="345">
        <f t="shared" si="204"/>
        <v>19.957877628060238</v>
      </c>
      <c r="AB482" s="346">
        <f t="shared" si="205"/>
        <v>-88.580279315416405</v>
      </c>
      <c r="AD482">
        <f t="shared" si="209"/>
        <v>0</v>
      </c>
      <c r="AE482">
        <f t="shared" si="212"/>
        <v>0</v>
      </c>
    </row>
    <row r="483" spans="1:31" x14ac:dyDescent="0.2">
      <c r="A483" s="347">
        <v>58214</v>
      </c>
      <c r="B483" s="364">
        <f t="shared" si="206"/>
        <v>58.213999999999999</v>
      </c>
      <c r="C483" s="337">
        <f t="shared" si="187"/>
        <v>115.53708677366903</v>
      </c>
      <c r="D483" s="338">
        <f t="shared" si="188"/>
        <v>1.562140989241861</v>
      </c>
      <c r="E483" s="338">
        <f t="shared" si="189"/>
        <v>1.0038456772245195</v>
      </c>
      <c r="F483" s="339">
        <f t="shared" si="190"/>
        <v>8.7560186987652194E-2</v>
      </c>
      <c r="G483" s="338">
        <f t="shared" si="191"/>
        <v>1</v>
      </c>
      <c r="H483" s="339">
        <f t="shared" si="192"/>
        <v>0</v>
      </c>
      <c r="I483" s="337">
        <f t="shared" si="193"/>
        <v>11012.725525233311</v>
      </c>
      <c r="J483" s="340">
        <f t="shared" si="194"/>
        <v>1.5707055227519662</v>
      </c>
      <c r="K483" s="348">
        <f t="shared" si="210"/>
        <v>10.431502643726807</v>
      </c>
      <c r="L483" s="349">
        <f t="shared" si="211"/>
        <v>1.4747854224188808</v>
      </c>
      <c r="M483" s="337">
        <f t="shared" si="195"/>
        <v>1.0098420781369533</v>
      </c>
      <c r="N483" s="340">
        <f t="shared" si="196"/>
        <v>0.13972850993137464</v>
      </c>
      <c r="O483" s="341">
        <f t="shared" si="197"/>
        <v>0.99915671744845758</v>
      </c>
      <c r="P483" s="342">
        <f t="shared" si="198"/>
        <v>7.1397734800470264E-2</v>
      </c>
      <c r="Q483" s="343">
        <f t="shared" si="199"/>
        <v>0.26136698114525131</v>
      </c>
      <c r="R483" s="344">
        <f t="shared" si="200"/>
        <v>-102.07971632396232</v>
      </c>
      <c r="S483" s="346">
        <f t="shared" si="201"/>
        <v>77.920283676037684</v>
      </c>
      <c r="U483" s="319">
        <f t="shared" si="207"/>
        <v>1000000000</v>
      </c>
      <c r="V483" s="319">
        <f t="shared" si="208"/>
        <v>3388869796</v>
      </c>
      <c r="X483" s="345">
        <f t="shared" si="202"/>
        <v>37.151196286031947</v>
      </c>
      <c r="Y483" s="346">
        <f t="shared" si="203"/>
        <v>-13.501670831704672</v>
      </c>
      <c r="AA483" s="345">
        <f t="shared" si="204"/>
        <v>19.908217708030069</v>
      </c>
      <c r="AB483" s="346">
        <f t="shared" si="205"/>
        <v>-88.57804549225763</v>
      </c>
      <c r="AD483">
        <f t="shared" si="209"/>
        <v>0</v>
      </c>
      <c r="AE483">
        <f t="shared" si="212"/>
        <v>0</v>
      </c>
    </row>
    <row r="484" spans="1:31" x14ac:dyDescent="0.2">
      <c r="A484" s="347">
        <v>58549</v>
      </c>
      <c r="B484" s="364">
        <f t="shared" si="206"/>
        <v>58.548999999999999</v>
      </c>
      <c r="C484" s="337">
        <f t="shared" si="187"/>
        <v>116.20191023300404</v>
      </c>
      <c r="D484" s="338">
        <f t="shared" si="188"/>
        <v>1.5621905100622078</v>
      </c>
      <c r="E484" s="338">
        <f t="shared" si="189"/>
        <v>1.0038899794699812</v>
      </c>
      <c r="F484" s="339">
        <f t="shared" si="190"/>
        <v>8.8061469855760563E-2</v>
      </c>
      <c r="G484" s="338">
        <f t="shared" si="191"/>
        <v>1</v>
      </c>
      <c r="H484" s="339">
        <f t="shared" si="192"/>
        <v>0</v>
      </c>
      <c r="I484" s="337">
        <f t="shared" si="193"/>
        <v>11076.099679571113</v>
      </c>
      <c r="J484" s="340">
        <f t="shared" si="194"/>
        <v>1.5707060423057453</v>
      </c>
      <c r="K484" s="348">
        <f t="shared" si="210"/>
        <v>10.490981981328014</v>
      </c>
      <c r="L484" s="349">
        <f t="shared" si="211"/>
        <v>1.4753314272425173</v>
      </c>
      <c r="M484" s="337">
        <f t="shared" si="195"/>
        <v>1.0099551191774907</v>
      </c>
      <c r="N484" s="340">
        <f t="shared" si="196"/>
        <v>0.14052208176473346</v>
      </c>
      <c r="O484" s="341">
        <f t="shared" si="197"/>
        <v>0.99914704691141332</v>
      </c>
      <c r="P484" s="342">
        <f t="shared" si="198"/>
        <v>7.181000418044553E-2</v>
      </c>
      <c r="Q484" s="343">
        <f t="shared" si="199"/>
        <v>0.21056960715881048</v>
      </c>
      <c r="R484" s="344">
        <f t="shared" si="200"/>
        <v>-102.09166787383262</v>
      </c>
      <c r="S484" s="346">
        <f t="shared" si="201"/>
        <v>77.90833212616738</v>
      </c>
      <c r="U484" s="319">
        <f t="shared" si="207"/>
        <v>1000000000</v>
      </c>
      <c r="V484" s="319">
        <f t="shared" si="208"/>
        <v>3427985401</v>
      </c>
      <c r="X484" s="345">
        <f t="shared" si="202"/>
        <v>37.149768615305824</v>
      </c>
      <c r="Y484" s="346">
        <f t="shared" si="203"/>
        <v>-13.515885144763454</v>
      </c>
      <c r="AA484" s="345">
        <f t="shared" si="204"/>
        <v>19.858848004769747</v>
      </c>
      <c r="AB484" s="346">
        <f t="shared" si="205"/>
        <v>-88.575782729069175</v>
      </c>
      <c r="AD484">
        <f t="shared" si="209"/>
        <v>0</v>
      </c>
      <c r="AE484">
        <f t="shared" si="212"/>
        <v>0</v>
      </c>
    </row>
    <row r="485" spans="1:31" x14ac:dyDescent="0.2">
      <c r="A485" s="347">
        <v>58884</v>
      </c>
      <c r="B485" s="364">
        <f t="shared" si="206"/>
        <v>58.884</v>
      </c>
      <c r="C485" s="337">
        <f t="shared" si="187"/>
        <v>116.8667339740602</v>
      </c>
      <c r="D485" s="338">
        <f t="shared" si="188"/>
        <v>1.5622394674611435</v>
      </c>
      <c r="E485" s="338">
        <f t="shared" si="189"/>
        <v>1.0039345339551475</v>
      </c>
      <c r="F485" s="339">
        <f t="shared" si="190"/>
        <v>8.8562708356075007E-2</v>
      </c>
      <c r="G485" s="338">
        <f t="shared" si="191"/>
        <v>1</v>
      </c>
      <c r="H485" s="339">
        <f t="shared" si="192"/>
        <v>0</v>
      </c>
      <c r="I485" s="337">
        <f t="shared" si="193"/>
        <v>11139.473833911872</v>
      </c>
      <c r="J485" s="340">
        <f t="shared" si="194"/>
        <v>1.5707065559478841</v>
      </c>
      <c r="K485" s="348">
        <f t="shared" si="210"/>
        <v>10.55046441124936</v>
      </c>
      <c r="L485" s="349">
        <f t="shared" si="211"/>
        <v>1.4758712755878503</v>
      </c>
      <c r="M485" s="337">
        <f t="shared" si="195"/>
        <v>1.0100687961009871</v>
      </c>
      <c r="N485" s="340">
        <f t="shared" si="196"/>
        <v>0.14131547547455375</v>
      </c>
      <c r="O485" s="341">
        <f t="shared" si="197"/>
        <v>0.99913732233382602</v>
      </c>
      <c r="P485" s="342">
        <f t="shared" si="198"/>
        <v>7.2222297681149572E-2</v>
      </c>
      <c r="Q485" s="343">
        <f t="shared" si="199"/>
        <v>0.16006151340904914</v>
      </c>
      <c r="R485" s="344">
        <f t="shared" si="200"/>
        <v>-102.10393326192209</v>
      </c>
      <c r="S485" s="346">
        <f t="shared" si="201"/>
        <v>77.896066738077906</v>
      </c>
      <c r="U485" s="319">
        <f t="shared" si="207"/>
        <v>1000000000</v>
      </c>
      <c r="V485" s="319">
        <f t="shared" si="208"/>
        <v>3467325456</v>
      </c>
      <c r="X485" s="345">
        <f t="shared" si="202"/>
        <v>37.148343289628983</v>
      </c>
      <c r="Y485" s="346">
        <f t="shared" si="203"/>
        <v>-13.530441653607056</v>
      </c>
      <c r="AA485" s="345">
        <f t="shared" si="204"/>
        <v>19.809765236696833</v>
      </c>
      <c r="AB485" s="346">
        <f t="shared" si="205"/>
        <v>-88.573491608315038</v>
      </c>
      <c r="AD485">
        <f t="shared" si="209"/>
        <v>0</v>
      </c>
      <c r="AE485">
        <f t="shared" si="212"/>
        <v>0</v>
      </c>
    </row>
    <row r="486" spans="1:31" x14ac:dyDescent="0.2">
      <c r="A486" s="347">
        <v>59227</v>
      </c>
      <c r="B486" s="364">
        <f t="shared" si="206"/>
        <v>59.226999999999997</v>
      </c>
      <c r="C486" s="337">
        <f t="shared" si="187"/>
        <v>117.54743438986335</v>
      </c>
      <c r="D486" s="338">
        <f t="shared" si="188"/>
        <v>1.5622890202112181</v>
      </c>
      <c r="E486" s="338">
        <f t="shared" si="189"/>
        <v>1.0039804137400277</v>
      </c>
      <c r="F486" s="339">
        <f t="shared" si="190"/>
        <v>8.9075870504438603E-2</v>
      </c>
      <c r="G486" s="338">
        <f t="shared" si="191"/>
        <v>1</v>
      </c>
      <c r="H486" s="339">
        <f t="shared" si="192"/>
        <v>0</v>
      </c>
      <c r="I486" s="337">
        <f t="shared" si="193"/>
        <v>11204.361400896614</v>
      </c>
      <c r="J486" s="340">
        <f t="shared" si="194"/>
        <v>1.5707070758357793</v>
      </c>
      <c r="K486" s="348">
        <f t="shared" si="210"/>
        <v>10.611370466771829</v>
      </c>
      <c r="L486" s="349">
        <f t="shared" si="211"/>
        <v>1.4764177448669575</v>
      </c>
      <c r="M486" s="337">
        <f t="shared" si="195"/>
        <v>1.0101858463152584</v>
      </c>
      <c r="N486" s="340">
        <f t="shared" si="196"/>
        <v>0.14212763036480136</v>
      </c>
      <c r="O486" s="341">
        <f t="shared" si="197"/>
        <v>0.99912730956182905</v>
      </c>
      <c r="P486" s="342">
        <f t="shared" si="198"/>
        <v>7.264446213220889E-2</v>
      </c>
      <c r="Q486" s="343">
        <f t="shared" si="199"/>
        <v>0.10864343638677221</v>
      </c>
      <c r="R486" s="344">
        <f t="shared" si="200"/>
        <v>-102.11681109295631</v>
      </c>
      <c r="S486" s="346">
        <f t="shared" si="201"/>
        <v>77.883188907043689</v>
      </c>
      <c r="U486" s="319">
        <f t="shared" si="207"/>
        <v>1000000000</v>
      </c>
      <c r="V486" s="319">
        <f t="shared" si="208"/>
        <v>3507837529</v>
      </c>
      <c r="X486" s="345">
        <f t="shared" si="202"/>
        <v>37.146886179703685</v>
      </c>
      <c r="Y486" s="346">
        <f t="shared" si="203"/>
        <v>-13.54569410520239</v>
      </c>
      <c r="AA486" s="345">
        <f t="shared" si="204"/>
        <v>19.759804269599847</v>
      </c>
      <c r="AB486" s="346">
        <f t="shared" si="205"/>
        <v>-88.571116987753925</v>
      </c>
      <c r="AD486">
        <f t="shared" si="209"/>
        <v>0</v>
      </c>
      <c r="AE486">
        <f t="shared" si="212"/>
        <v>0</v>
      </c>
    </row>
    <row r="487" spans="1:31" x14ac:dyDescent="0.2">
      <c r="A487" s="347">
        <v>59570</v>
      </c>
      <c r="B487" s="364">
        <f t="shared" si="206"/>
        <v>59.57</v>
      </c>
      <c r="C487" s="337">
        <f t="shared" si="187"/>
        <v>118.22813509097766</v>
      </c>
      <c r="D487" s="338">
        <f t="shared" si="188"/>
        <v>1.5623380023596394</v>
      </c>
      <c r="E487" s="338">
        <f t="shared" si="189"/>
        <v>1.0040265578842791</v>
      </c>
      <c r="F487" s="339">
        <f t="shared" si="190"/>
        <v>8.9588985618985262E-2</v>
      </c>
      <c r="G487" s="338">
        <f t="shared" si="191"/>
        <v>1</v>
      </c>
      <c r="H487" s="339">
        <f t="shared" si="192"/>
        <v>0</v>
      </c>
      <c r="I487" s="337">
        <f t="shared" si="193"/>
        <v>11269.248967884349</v>
      </c>
      <c r="J487" s="340">
        <f t="shared" si="194"/>
        <v>1.5707075897367162</v>
      </c>
      <c r="K487" s="348">
        <f t="shared" si="210"/>
        <v>10.672279654984253</v>
      </c>
      <c r="L487" s="349">
        <f t="shared" si="211"/>
        <v>1.4769579766506944</v>
      </c>
      <c r="M487" s="337">
        <f t="shared" si="195"/>
        <v>1.0103035626889842</v>
      </c>
      <c r="N487" s="340">
        <f t="shared" si="196"/>
        <v>0.1429395965326872</v>
      </c>
      <c r="O487" s="341">
        <f t="shared" si="197"/>
        <v>0.99911724019049031</v>
      </c>
      <c r="P487" s="342">
        <f t="shared" si="198"/>
        <v>7.3066652161883641E-2</v>
      </c>
      <c r="Q487" s="343">
        <f t="shared" si="199"/>
        <v>5.7521483250142634E-2</v>
      </c>
      <c r="R487" s="344">
        <f t="shared" si="200"/>
        <v>-102.13000661744748</v>
      </c>
      <c r="S487" s="346">
        <f t="shared" si="201"/>
        <v>77.869993382552522</v>
      </c>
      <c r="U487" s="319">
        <f t="shared" si="207"/>
        <v>1000000000</v>
      </c>
      <c r="V487" s="319">
        <f t="shared" si="208"/>
        <v>3548584900</v>
      </c>
      <c r="X487" s="345">
        <f t="shared" si="202"/>
        <v>37.145431175103305</v>
      </c>
      <c r="Y487" s="346">
        <f t="shared" si="203"/>
        <v>-13.561292782935309</v>
      </c>
      <c r="AA487" s="345">
        <f t="shared" si="204"/>
        <v>19.710137321063602</v>
      </c>
      <c r="AB487" s="346">
        <f t="shared" si="205"/>
        <v>-88.568713834512167</v>
      </c>
      <c r="AD487">
        <f t="shared" si="209"/>
        <v>0</v>
      </c>
      <c r="AE487">
        <f t="shared" si="212"/>
        <v>0</v>
      </c>
    </row>
    <row r="488" spans="1:31" x14ac:dyDescent="0.2">
      <c r="A488" s="347">
        <v>59913</v>
      </c>
      <c r="B488" s="364">
        <f t="shared" si="206"/>
        <v>59.912999999999997</v>
      </c>
      <c r="C488" s="337">
        <f t="shared" si="187"/>
        <v>118.90883607250329</v>
      </c>
      <c r="D488" s="338">
        <f t="shared" si="188"/>
        <v>1.5623864237055036</v>
      </c>
      <c r="E488" s="338">
        <f t="shared" si="189"/>
        <v>1.0040729663514545</v>
      </c>
      <c r="F488" s="339">
        <f t="shared" si="190"/>
        <v>9.0102053436025092E-2</v>
      </c>
      <c r="G488" s="338">
        <f t="shared" si="191"/>
        <v>1</v>
      </c>
      <c r="H488" s="339">
        <f t="shared" si="192"/>
        <v>0</v>
      </c>
      <c r="I488" s="337">
        <f t="shared" si="193"/>
        <v>11334.136534875026</v>
      </c>
      <c r="J488" s="340">
        <f t="shared" si="194"/>
        <v>1.5707080977535206</v>
      </c>
      <c r="K488" s="348">
        <f t="shared" si="210"/>
        <v>10.733191922554054</v>
      </c>
      <c r="L488" s="349">
        <f t="shared" si="211"/>
        <v>1.4774920768168172</v>
      </c>
      <c r="M488" s="337">
        <f t="shared" si="195"/>
        <v>1.0104219449893379</v>
      </c>
      <c r="N488" s="340">
        <f t="shared" si="196"/>
        <v>0.14375137297371815</v>
      </c>
      <c r="O488" s="341">
        <f t="shared" si="197"/>
        <v>0.9991071142468877</v>
      </c>
      <c r="P488" s="342">
        <f t="shared" si="198"/>
        <v>7.3488867917935352E-2</v>
      </c>
      <c r="Q488" s="343">
        <f t="shared" si="199"/>
        <v>6.6921384652187405E-3</v>
      </c>
      <c r="R488" s="344">
        <f t="shared" si="200"/>
        <v>-102.14351430240657</v>
      </c>
      <c r="S488" s="346">
        <f t="shared" si="201"/>
        <v>77.856485697593428</v>
      </c>
      <c r="U488" s="319">
        <f t="shared" si="207"/>
        <v>1000000000</v>
      </c>
      <c r="V488" s="319">
        <f t="shared" si="208"/>
        <v>3589567569</v>
      </c>
      <c r="X488" s="345">
        <f t="shared" si="202"/>
        <v>37.143978104898125</v>
      </c>
      <c r="Y488" s="346">
        <f t="shared" si="203"/>
        <v>-13.577231568795487</v>
      </c>
      <c r="AA488" s="345">
        <f t="shared" si="204"/>
        <v>19.660761046483856</v>
      </c>
      <c r="AB488" s="346">
        <f t="shared" si="205"/>
        <v>-88.566282733611075</v>
      </c>
      <c r="AD488">
        <f t="shared" si="209"/>
        <v>59913</v>
      </c>
      <c r="AE488">
        <f t="shared" si="212"/>
        <v>77.856485697593428</v>
      </c>
    </row>
    <row r="489" spans="1:31" x14ac:dyDescent="0.2">
      <c r="A489" s="347">
        <v>60256</v>
      </c>
      <c r="B489" s="364">
        <f t="shared" si="206"/>
        <v>60.256</v>
      </c>
      <c r="C489" s="337">
        <f t="shared" si="187"/>
        <v>119.58953732965193</v>
      </c>
      <c r="D489" s="338">
        <f t="shared" si="188"/>
        <v>1.5624342938248126</v>
      </c>
      <c r="E489" s="338">
        <f t="shared" si="189"/>
        <v>1.0041196391049041</v>
      </c>
      <c r="F489" s="339">
        <f t="shared" si="190"/>
        <v>9.0615073692016421E-2</v>
      </c>
      <c r="G489" s="338">
        <f t="shared" si="191"/>
        <v>1</v>
      </c>
      <c r="H489" s="339">
        <f t="shared" si="192"/>
        <v>0</v>
      </c>
      <c r="I489" s="337">
        <f t="shared" si="193"/>
        <v>11399.024101868594</v>
      </c>
      <c r="J489" s="340">
        <f t="shared" si="194"/>
        <v>1.5707085999866763</v>
      </c>
      <c r="K489" s="348">
        <f t="shared" si="210"/>
        <v>10.794107217349826</v>
      </c>
      <c r="L489" s="349">
        <f t="shared" si="211"/>
        <v>1.4780201488672218</v>
      </c>
      <c r="M489" s="337">
        <f t="shared" si="195"/>
        <v>1.0105409929822848</v>
      </c>
      <c r="N489" s="340">
        <f t="shared" si="196"/>
        <v>0.14456295868487062</v>
      </c>
      <c r="O489" s="341">
        <f t="shared" si="197"/>
        <v>0.99909693175825642</v>
      </c>
      <c r="P489" s="342">
        <f t="shared" si="198"/>
        <v>7.3911109548118734E-2</v>
      </c>
      <c r="Q489" s="343">
        <f t="shared" si="199"/>
        <v>-4.3848051316656686E-2</v>
      </c>
      <c r="R489" s="344">
        <f t="shared" si="200"/>
        <v>-102.15732873813009</v>
      </c>
      <c r="S489" s="346">
        <f t="shared" si="201"/>
        <v>77.84267126186991</v>
      </c>
      <c r="U489" s="319">
        <f t="shared" si="207"/>
        <v>60256</v>
      </c>
      <c r="V489" s="319">
        <f t="shared" si="208"/>
        <v>3630785536</v>
      </c>
      <c r="X489" s="345">
        <f t="shared" si="202"/>
        <v>37.142526803099329</v>
      </c>
      <c r="Y489" s="346">
        <f t="shared" si="203"/>
        <v>-13.593504480849399</v>
      </c>
      <c r="AA489" s="345">
        <f t="shared" si="204"/>
        <v>19.611672158500777</v>
      </c>
      <c r="AB489" s="346">
        <f t="shared" si="205"/>
        <v>-88.563824257280658</v>
      </c>
      <c r="AD489">
        <f t="shared" si="209"/>
        <v>0</v>
      </c>
      <c r="AE489">
        <f t="shared" si="212"/>
        <v>0</v>
      </c>
    </row>
    <row r="490" spans="1:31" x14ac:dyDescent="0.2">
      <c r="A490" s="347">
        <v>60607</v>
      </c>
      <c r="B490" s="364">
        <f t="shared" si="206"/>
        <v>60.606999999999999</v>
      </c>
      <c r="C490" s="337">
        <f t="shared" si="187"/>
        <v>120.28611528142036</v>
      </c>
      <c r="D490" s="338">
        <f t="shared" si="188"/>
        <v>1.5624827195502242</v>
      </c>
      <c r="E490" s="338">
        <f t="shared" si="189"/>
        <v>1.0041676740015713</v>
      </c>
      <c r="F490" s="339">
        <f t="shared" si="190"/>
        <v>9.1140009922301382E-2</v>
      </c>
      <c r="G490" s="338">
        <f t="shared" si="191"/>
        <v>1</v>
      </c>
      <c r="H490" s="339">
        <f t="shared" si="192"/>
        <v>0</v>
      </c>
      <c r="I490" s="337">
        <f t="shared" si="193"/>
        <v>11465.425081506355</v>
      </c>
      <c r="J490" s="340">
        <f t="shared" si="194"/>
        <v>1.5707091080486086</v>
      </c>
      <c r="K490" s="348">
        <f t="shared" si="210"/>
        <v>10.85644635783307</v>
      </c>
      <c r="L490" s="349">
        <f t="shared" si="211"/>
        <v>1.4785544023759993</v>
      </c>
      <c r="M490" s="337">
        <f t="shared" si="195"/>
        <v>1.0106635065225646</v>
      </c>
      <c r="N490" s="340">
        <f t="shared" si="196"/>
        <v>0.14539327500938667</v>
      </c>
      <c r="O490" s="341">
        <f t="shared" si="197"/>
        <v>0.99908645326709944</v>
      </c>
      <c r="P490" s="342">
        <f t="shared" si="198"/>
        <v>7.4343226320122302E-2</v>
      </c>
      <c r="Q490" s="343">
        <f t="shared" si="199"/>
        <v>-9.5271210359958836E-2</v>
      </c>
      <c r="R490" s="344">
        <f t="shared" si="200"/>
        <v>-102.17177742423335</v>
      </c>
      <c r="S490" s="346">
        <f t="shared" si="201"/>
        <v>77.828222575766645</v>
      </c>
      <c r="U490" s="319">
        <f t="shared" si="207"/>
        <v>60607</v>
      </c>
      <c r="V490" s="319">
        <f t="shared" si="208"/>
        <v>3673208449</v>
      </c>
      <c r="X490" s="345">
        <f t="shared" si="202"/>
        <v>37.141043314285568</v>
      </c>
      <c r="Y490" s="346">
        <f t="shared" si="203"/>
        <v>-13.610496740485841</v>
      </c>
      <c r="AA490" s="345">
        <f t="shared" si="204"/>
        <v>19.56173248827124</v>
      </c>
      <c r="AB490" s="346">
        <f t="shared" si="205"/>
        <v>-88.561280683747484</v>
      </c>
      <c r="AD490">
        <f t="shared" si="209"/>
        <v>0</v>
      </c>
      <c r="AE490">
        <f t="shared" si="212"/>
        <v>0</v>
      </c>
    </row>
    <row r="491" spans="1:31" x14ac:dyDescent="0.2">
      <c r="A491" s="347">
        <v>60958</v>
      </c>
      <c r="B491" s="364">
        <f t="shared" si="206"/>
        <v>60.957999999999998</v>
      </c>
      <c r="C491" s="337">
        <f t="shared" si="187"/>
        <v>120.98269351201762</v>
      </c>
      <c r="D491" s="338">
        <f t="shared" si="188"/>
        <v>1.5625305876372095</v>
      </c>
      <c r="E491" s="338">
        <f t="shared" si="189"/>
        <v>1.0042159855782045</v>
      </c>
      <c r="F491" s="339">
        <f t="shared" si="190"/>
        <v>9.1664895789158693E-2</v>
      </c>
      <c r="G491" s="338">
        <f t="shared" si="191"/>
        <v>1</v>
      </c>
      <c r="H491" s="339">
        <f t="shared" si="192"/>
        <v>0</v>
      </c>
      <c r="I491" s="337">
        <f t="shared" si="193"/>
        <v>11531.826061147043</v>
      </c>
      <c r="J491" s="340">
        <f t="shared" si="194"/>
        <v>1.5707096102596358</v>
      </c>
      <c r="K491" s="348">
        <f t="shared" si="210"/>
        <v>10.918788561653331</v>
      </c>
      <c r="L491" s="349">
        <f t="shared" si="211"/>
        <v>1.4790825552581801</v>
      </c>
      <c r="M491" s="337">
        <f t="shared" si="195"/>
        <v>1.0107867166705462</v>
      </c>
      <c r="N491" s="340">
        <f t="shared" si="196"/>
        <v>0.14622338948277708</v>
      </c>
      <c r="O491" s="341">
        <f t="shared" si="197"/>
        <v>0.99907591562069764</v>
      </c>
      <c r="P491" s="342">
        <f t="shared" si="198"/>
        <v>7.4775370500331534E-2</v>
      </c>
      <c r="Q491" s="343">
        <f t="shared" si="199"/>
        <v>-0.14639869263106775</v>
      </c>
      <c r="R491" s="344">
        <f t="shared" si="200"/>
        <v>-102.18653625570163</v>
      </c>
      <c r="S491" s="346">
        <f t="shared" si="201"/>
        <v>77.813463744298375</v>
      </c>
      <c r="U491" s="319">
        <f t="shared" si="207"/>
        <v>60958</v>
      </c>
      <c r="V491" s="319">
        <f t="shared" si="208"/>
        <v>3715877764</v>
      </c>
      <c r="X491" s="345">
        <f t="shared" si="202"/>
        <v>37.139561340775032</v>
      </c>
      <c r="Y491" s="346">
        <f t="shared" si="203"/>
        <v>-13.627826639829296</v>
      </c>
      <c r="AA491" s="345">
        <f t="shared" si="204"/>
        <v>19.512086979510656</v>
      </c>
      <c r="AB491" s="346">
        <f t="shared" si="205"/>
        <v>-88.558709615872317</v>
      </c>
      <c r="AD491">
        <f t="shared" si="209"/>
        <v>0</v>
      </c>
      <c r="AE491">
        <f t="shared" si="212"/>
        <v>0</v>
      </c>
    </row>
    <row r="492" spans="1:31" x14ac:dyDescent="0.2">
      <c r="A492" s="347">
        <v>61309</v>
      </c>
      <c r="B492" s="364">
        <f t="shared" si="206"/>
        <v>61.308999999999997</v>
      </c>
      <c r="C492" s="337">
        <f t="shared" si="187"/>
        <v>121.67927201665512</v>
      </c>
      <c r="D492" s="338">
        <f t="shared" si="188"/>
        <v>1.5625779076625019</v>
      </c>
      <c r="E492" s="338">
        <f t="shared" si="189"/>
        <v>1.0042645737948732</v>
      </c>
      <c r="F492" s="339">
        <f t="shared" si="190"/>
        <v>9.2189731010660192E-2</v>
      </c>
      <c r="G492" s="338">
        <f t="shared" si="191"/>
        <v>1</v>
      </c>
      <c r="H492" s="339">
        <f t="shared" si="192"/>
        <v>0</v>
      </c>
      <c r="I492" s="337">
        <f t="shared" si="193"/>
        <v>11598.227040790605</v>
      </c>
      <c r="J492" s="340">
        <f t="shared" si="194"/>
        <v>1.5707101067202489</v>
      </c>
      <c r="K492" s="348">
        <f t="shared" si="210"/>
        <v>10.981133776636989</v>
      </c>
      <c r="L492" s="349">
        <f t="shared" si="211"/>
        <v>1.4796047111252102</v>
      </c>
      <c r="M492" s="337">
        <f t="shared" si="195"/>
        <v>1.0109106231715206</v>
      </c>
      <c r="N492" s="340">
        <f t="shared" si="196"/>
        <v>0.14705330103500974</v>
      </c>
      <c r="O492" s="341">
        <f t="shared" si="197"/>
        <v>0.99906531884875005</v>
      </c>
      <c r="P492" s="342">
        <f t="shared" si="198"/>
        <v>7.5207542247060569E-2</v>
      </c>
      <c r="Q492" s="343">
        <f t="shared" si="199"/>
        <v>-0.19723400597189589</v>
      </c>
      <c r="R492" s="344">
        <f t="shared" si="200"/>
        <v>-102.20159981441614</v>
      </c>
      <c r="S492" s="346">
        <f t="shared" si="201"/>
        <v>77.798400185583859</v>
      </c>
      <c r="U492" s="319">
        <f t="shared" si="207"/>
        <v>61309</v>
      </c>
      <c r="V492" s="319">
        <f t="shared" si="208"/>
        <v>3758793481</v>
      </c>
      <c r="X492" s="345">
        <f t="shared" si="202"/>
        <v>37.138080719705414</v>
      </c>
      <c r="Y492" s="346">
        <f t="shared" si="203"/>
        <v>-13.645488186830558</v>
      </c>
      <c r="AA492" s="345">
        <f t="shared" si="204"/>
        <v>19.462732287239454</v>
      </c>
      <c r="AB492" s="346">
        <f t="shared" si="205"/>
        <v>-88.556111627585565</v>
      </c>
      <c r="AD492">
        <f t="shared" si="209"/>
        <v>0</v>
      </c>
      <c r="AE492">
        <f t="shared" si="212"/>
        <v>0</v>
      </c>
    </row>
    <row r="493" spans="1:31" x14ac:dyDescent="0.2">
      <c r="A493" s="347">
        <v>61660</v>
      </c>
      <c r="B493" s="364">
        <f t="shared" si="206"/>
        <v>61.66</v>
      </c>
      <c r="C493" s="337">
        <f t="shared" si="187"/>
        <v>122.37585079065319</v>
      </c>
      <c r="D493" s="338">
        <f t="shared" si="188"/>
        <v>1.5626246889847961</v>
      </c>
      <c r="E493" s="338">
        <f t="shared" si="189"/>
        <v>1.0043134386114265</v>
      </c>
      <c r="F493" s="339">
        <f t="shared" si="190"/>
        <v>9.271451530504371E-2</v>
      </c>
      <c r="G493" s="338">
        <f t="shared" si="191"/>
        <v>1</v>
      </c>
      <c r="H493" s="339">
        <f t="shared" si="192"/>
        <v>0</v>
      </c>
      <c r="I493" s="337">
        <f t="shared" si="193"/>
        <v>11664.628020436992</v>
      </c>
      <c r="J493" s="340">
        <f t="shared" si="194"/>
        <v>1.5707105975286506</v>
      </c>
      <c r="K493" s="348">
        <f t="shared" si="210"/>
        <v>11.043481951786097</v>
      </c>
      <c r="L493" s="349">
        <f t="shared" si="211"/>
        <v>1.4801209712619499</v>
      </c>
      <c r="M493" s="337">
        <f t="shared" si="195"/>
        <v>1.0110352257694653</v>
      </c>
      <c r="N493" s="340">
        <f t="shared" si="196"/>
        <v>0.14788300859769379</v>
      </c>
      <c r="O493" s="341">
        <f t="shared" si="197"/>
        <v>0.99905466298112888</v>
      </c>
      <c r="P493" s="342">
        <f t="shared" si="198"/>
        <v>7.5639741718615941E-2</v>
      </c>
      <c r="Q493" s="343">
        <f t="shared" si="199"/>
        <v>-0.24778059624537982</v>
      </c>
      <c r="R493" s="344">
        <f t="shared" si="200"/>
        <v>-102.21696280302199</v>
      </c>
      <c r="S493" s="346">
        <f t="shared" si="201"/>
        <v>77.783037196978015</v>
      </c>
      <c r="U493" s="319">
        <f t="shared" si="207"/>
        <v>61660</v>
      </c>
      <c r="V493" s="319">
        <f t="shared" si="208"/>
        <v>3801955600</v>
      </c>
      <c r="X493" s="345">
        <f t="shared" si="202"/>
        <v>37.136601292942316</v>
      </c>
      <c r="Y493" s="346">
        <f t="shared" si="203"/>
        <v>-13.663475522706939</v>
      </c>
      <c r="AA493" s="345">
        <f t="shared" si="204"/>
        <v>19.413665123729068</v>
      </c>
      <c r="AB493" s="346">
        <f t="shared" si="205"/>
        <v>-88.553487280315053</v>
      </c>
      <c r="AD493">
        <f t="shared" si="209"/>
        <v>0</v>
      </c>
      <c r="AE493">
        <f t="shared" si="212"/>
        <v>0</v>
      </c>
    </row>
    <row r="494" spans="1:31" x14ac:dyDescent="0.2">
      <c r="A494" s="347">
        <v>62019</v>
      </c>
      <c r="B494" s="364">
        <f t="shared" si="206"/>
        <v>62.018999999999998</v>
      </c>
      <c r="C494" s="337">
        <f t="shared" si="187"/>
        <v>123.08830627781758</v>
      </c>
      <c r="D494" s="338">
        <f t="shared" si="188"/>
        <v>1.5626719888205087</v>
      </c>
      <c r="E494" s="338">
        <f t="shared" si="189"/>
        <v>1.0043637032420458</v>
      </c>
      <c r="F494" s="339">
        <f t="shared" si="190"/>
        <v>9.3251207520074292E-2</v>
      </c>
      <c r="G494" s="338">
        <f t="shared" si="191"/>
        <v>1</v>
      </c>
      <c r="H494" s="339">
        <f t="shared" si="192"/>
        <v>0</v>
      </c>
      <c r="I494" s="337">
        <f t="shared" si="193"/>
        <v>11732.542412727766</v>
      </c>
      <c r="J494" s="340">
        <f t="shared" si="194"/>
        <v>1.5707110937766784</v>
      </c>
      <c r="K494" s="348">
        <f t="shared" si="210"/>
        <v>11.107254178143092</v>
      </c>
      <c r="L494" s="349">
        <f t="shared" si="211"/>
        <v>1.4806430023856791</v>
      </c>
      <c r="M494" s="337">
        <f t="shared" si="195"/>
        <v>1.0111633881203934</v>
      </c>
      <c r="N494" s="340">
        <f t="shared" si="196"/>
        <v>0.1487314147456601</v>
      </c>
      <c r="O494" s="341">
        <f t="shared" si="197"/>
        <v>0.99904370314465973</v>
      </c>
      <c r="P494" s="342">
        <f t="shared" si="198"/>
        <v>7.6081820735258626E-2</v>
      </c>
      <c r="Q494" s="343">
        <f t="shared" si="199"/>
        <v>-0.29918410483452434</v>
      </c>
      <c r="R494" s="344">
        <f t="shared" si="200"/>
        <v>-102.23298029138928</v>
      </c>
      <c r="S494" s="346">
        <f t="shared" si="201"/>
        <v>77.767019708610718</v>
      </c>
      <c r="U494" s="319">
        <f t="shared" si="207"/>
        <v>62019</v>
      </c>
      <c r="V494" s="319">
        <f t="shared" si="208"/>
        <v>3846356361</v>
      </c>
      <c r="X494" s="345">
        <f t="shared" si="202"/>
        <v>37.135089222463677</v>
      </c>
      <c r="Y494" s="346">
        <f t="shared" si="203"/>
        <v>-13.682203867073174</v>
      </c>
      <c r="AA494" s="345">
        <f t="shared" si="204"/>
        <v>19.363773685618561</v>
      </c>
      <c r="AB494" s="346">
        <f t="shared" si="205"/>
        <v>-88.550776424316098</v>
      </c>
      <c r="AD494">
        <f t="shared" si="209"/>
        <v>0</v>
      </c>
      <c r="AE494">
        <f t="shared" si="212"/>
        <v>0</v>
      </c>
    </row>
    <row r="495" spans="1:31" x14ac:dyDescent="0.2">
      <c r="A495" s="347">
        <v>62378</v>
      </c>
      <c r="B495" s="364">
        <f t="shared" si="206"/>
        <v>62.378</v>
      </c>
      <c r="C495" s="337">
        <f t="shared" si="187"/>
        <v>123.80076203719473</v>
      </c>
      <c r="D495" s="338">
        <f t="shared" si="188"/>
        <v>1.5627187442486845</v>
      </c>
      <c r="E495" s="338">
        <f t="shared" si="189"/>
        <v>1.0044142571391099</v>
      </c>
      <c r="F495" s="339">
        <f t="shared" si="190"/>
        <v>9.3787845864379965E-2</v>
      </c>
      <c r="G495" s="338">
        <f t="shared" si="191"/>
        <v>1</v>
      </c>
      <c r="H495" s="339">
        <f t="shared" si="192"/>
        <v>0</v>
      </c>
      <c r="I495" s="337">
        <f t="shared" si="193"/>
        <v>11800.456805021397</v>
      </c>
      <c r="J495" s="340">
        <f t="shared" si="194"/>
        <v>1.5707115843126589</v>
      </c>
      <c r="K495" s="348">
        <f t="shared" si="210"/>
        <v>11.171029396850043</v>
      </c>
      <c r="L495" s="349">
        <f t="shared" si="211"/>
        <v>1.4811590731149225</v>
      </c>
      <c r="M495" s="337">
        <f t="shared" si="195"/>
        <v>1.0112922781148592</v>
      </c>
      <c r="N495" s="340">
        <f t="shared" si="196"/>
        <v>0.14957960524395988</v>
      </c>
      <c r="O495" s="341">
        <f t="shared" si="197"/>
        <v>0.99903268155176361</v>
      </c>
      <c r="P495" s="342">
        <f t="shared" si="198"/>
        <v>7.6523929089899967E-2</v>
      </c>
      <c r="Q495" s="343">
        <f t="shared" si="199"/>
        <v>-0.35029267857529028</v>
      </c>
      <c r="R495" s="344">
        <f t="shared" si="200"/>
        <v>-102.24930017736772</v>
      </c>
      <c r="S495" s="346">
        <f t="shared" si="201"/>
        <v>77.750699822632285</v>
      </c>
      <c r="U495" s="319">
        <f t="shared" si="207"/>
        <v>62378</v>
      </c>
      <c r="V495" s="319">
        <f t="shared" si="208"/>
        <v>3891014884</v>
      </c>
      <c r="X495" s="345">
        <f t="shared" si="202"/>
        <v>37.133578081200582</v>
      </c>
      <c r="Y495" s="346">
        <f t="shared" si="203"/>
        <v>-13.701261033796138</v>
      </c>
      <c r="AA495" s="345">
        <f t="shared" si="204"/>
        <v>19.314176253140889</v>
      </c>
      <c r="AB495" s="346">
        <f t="shared" si="205"/>
        <v>-88.548039143571586</v>
      </c>
      <c r="AD495">
        <f t="shared" si="209"/>
        <v>0</v>
      </c>
      <c r="AE495">
        <f t="shared" si="212"/>
        <v>0</v>
      </c>
    </row>
    <row r="496" spans="1:31" x14ac:dyDescent="0.2">
      <c r="A496" s="347">
        <v>62737</v>
      </c>
      <c r="B496" s="364">
        <f t="shared" si="206"/>
        <v>62.737000000000002</v>
      </c>
      <c r="C496" s="337">
        <f t="shared" si="187"/>
        <v>124.5132180641119</v>
      </c>
      <c r="D496" s="338">
        <f t="shared" si="188"/>
        <v>1.562764964614304</v>
      </c>
      <c r="E496" s="338">
        <f t="shared" si="189"/>
        <v>1.0044651002589433</v>
      </c>
      <c r="F496" s="339">
        <f t="shared" si="190"/>
        <v>9.4324430037035015E-2</v>
      </c>
      <c r="G496" s="338">
        <f t="shared" si="191"/>
        <v>1</v>
      </c>
      <c r="H496" s="339">
        <f t="shared" si="192"/>
        <v>0</v>
      </c>
      <c r="I496" s="337">
        <f t="shared" si="193"/>
        <v>11868.371197317834</v>
      </c>
      <c r="J496" s="340">
        <f t="shared" si="194"/>
        <v>1.5707120692346503</v>
      </c>
      <c r="K496" s="348">
        <f t="shared" si="210"/>
        <v>11.234807556948061</v>
      </c>
      <c r="L496" s="349">
        <f t="shared" si="211"/>
        <v>1.4816692846809687</v>
      </c>
      <c r="M496" s="337">
        <f t="shared" si="195"/>
        <v>1.0114218954746821</v>
      </c>
      <c r="N496" s="340">
        <f t="shared" si="196"/>
        <v>0.15042757895484865</v>
      </c>
      <c r="O496" s="341">
        <f t="shared" si="197"/>
        <v>0.99902159823496439</v>
      </c>
      <c r="P496" s="342">
        <f t="shared" si="198"/>
        <v>7.6966066951894521E-2</v>
      </c>
      <c r="Q496" s="343">
        <f t="shared" si="199"/>
        <v>-0.40110981251074407</v>
      </c>
      <c r="R496" s="344">
        <f t="shared" si="200"/>
        <v>-102.26591716363508</v>
      </c>
      <c r="S496" s="346">
        <f t="shared" si="201"/>
        <v>77.734082836364919</v>
      </c>
      <c r="U496" s="319">
        <f t="shared" si="207"/>
        <v>62737</v>
      </c>
      <c r="V496" s="319">
        <f t="shared" si="208"/>
        <v>3935931169</v>
      </c>
      <c r="X496" s="345">
        <f t="shared" si="202"/>
        <v>37.132067714298593</v>
      </c>
      <c r="Y496" s="346">
        <f t="shared" si="203"/>
        <v>-13.720641163180542</v>
      </c>
      <c r="AA496" s="345">
        <f t="shared" si="204"/>
        <v>19.264869486107422</v>
      </c>
      <c r="AB496" s="346">
        <f t="shared" si="205"/>
        <v>-88.54527600045455</v>
      </c>
      <c r="AD496">
        <f t="shared" si="209"/>
        <v>0</v>
      </c>
      <c r="AE496">
        <f t="shared" si="212"/>
        <v>0</v>
      </c>
    </row>
    <row r="497" spans="1:31" x14ac:dyDescent="0.2">
      <c r="A497" s="347">
        <v>63096</v>
      </c>
      <c r="B497" s="364">
        <f t="shared" si="206"/>
        <v>63.095999999999997</v>
      </c>
      <c r="C497" s="337">
        <f t="shared" si="187"/>
        <v>125.22567435400265</v>
      </c>
      <c r="D497" s="338">
        <f t="shared" si="188"/>
        <v>1.5628106590496891</v>
      </c>
      <c r="E497" s="338">
        <f t="shared" si="189"/>
        <v>1.0045162325576293</v>
      </c>
      <c r="F497" s="339">
        <f t="shared" si="190"/>
        <v>9.4860959737299216E-2</v>
      </c>
      <c r="G497" s="338">
        <f t="shared" si="191"/>
        <v>1</v>
      </c>
      <c r="H497" s="339">
        <f t="shared" si="192"/>
        <v>0</v>
      </c>
      <c r="I497" s="337">
        <f t="shared" si="193"/>
        <v>11936.285589617029</v>
      </c>
      <c r="J497" s="340">
        <f t="shared" si="194"/>
        <v>1.5707125486384792</v>
      </c>
      <c r="K497" s="348">
        <f t="shared" si="210"/>
        <v>11.29858860862654</v>
      </c>
      <c r="L497" s="349">
        <f t="shared" si="211"/>
        <v>1.4821737360416467</v>
      </c>
      <c r="M497" s="337">
        <f t="shared" si="195"/>
        <v>1.0115522399202546</v>
      </c>
      <c r="N497" s="340">
        <f t="shared" si="196"/>
        <v>0.15127533474241037</v>
      </c>
      <c r="O497" s="341">
        <f t="shared" si="197"/>
        <v>0.99901045322697513</v>
      </c>
      <c r="P497" s="342">
        <f t="shared" si="198"/>
        <v>7.7408234490588396E-2</v>
      </c>
      <c r="Q497" s="343">
        <f t="shared" si="199"/>
        <v>-0.45163894002911686</v>
      </c>
      <c r="R497" s="344">
        <f t="shared" si="200"/>
        <v>-102.28282607091018</v>
      </c>
      <c r="S497" s="346">
        <f t="shared" si="201"/>
        <v>77.717173929089824</v>
      </c>
      <c r="U497" s="319">
        <f t="shared" si="207"/>
        <v>63096</v>
      </c>
      <c r="V497" s="319">
        <f t="shared" si="208"/>
        <v>3981105216</v>
      </c>
      <c r="X497" s="345">
        <f t="shared" si="202"/>
        <v>37.130557971418263</v>
      </c>
      <c r="Y497" s="346">
        <f t="shared" si="203"/>
        <v>-13.740338525767717</v>
      </c>
      <c r="AA497" s="345">
        <f t="shared" si="204"/>
        <v>19.215850101469385</v>
      </c>
      <c r="AB497" s="346">
        <f t="shared" si="205"/>
        <v>-88.54248754514245</v>
      </c>
      <c r="AD497">
        <f t="shared" si="209"/>
        <v>0</v>
      </c>
      <c r="AE497">
        <f t="shared" si="212"/>
        <v>0</v>
      </c>
    </row>
    <row r="498" spans="1:31" x14ac:dyDescent="0.2">
      <c r="A498" s="347">
        <v>63463.25</v>
      </c>
      <c r="B498" s="364">
        <f t="shared" si="206"/>
        <v>63.463250000000002</v>
      </c>
      <c r="C498" s="337">
        <f t="shared" si="187"/>
        <v>125.95450351411056</v>
      </c>
      <c r="D498" s="338">
        <f t="shared" si="188"/>
        <v>1.5628568686730377</v>
      </c>
      <c r="E498" s="338">
        <f t="shared" si="189"/>
        <v>1.0045688390795573</v>
      </c>
      <c r="F498" s="339">
        <f t="shared" si="190"/>
        <v>9.5409762481234422E-2</v>
      </c>
      <c r="G498" s="338">
        <f t="shared" si="191"/>
        <v>1</v>
      </c>
      <c r="H498" s="339">
        <f t="shared" si="192"/>
        <v>0</v>
      </c>
      <c r="I498" s="337">
        <f t="shared" si="193"/>
        <v>12005.760688705854</v>
      </c>
      <c r="J498" s="340">
        <f t="shared" si="194"/>
        <v>1.5707130334470543</v>
      </c>
      <c r="K498" s="348">
        <f t="shared" si="210"/>
        <v>11.36383832210565</v>
      </c>
      <c r="L498" s="349">
        <f t="shared" si="211"/>
        <v>1.4826839205246292</v>
      </c>
      <c r="M498" s="337">
        <f t="shared" si="195"/>
        <v>1.0116863317944416</v>
      </c>
      <c r="N498" s="340">
        <f t="shared" si="196"/>
        <v>0.1521423457077285</v>
      </c>
      <c r="O498" s="341">
        <f t="shared" si="197"/>
        <v>0.99899898830140055</v>
      </c>
      <c r="P498" s="342">
        <f t="shared" si="198"/>
        <v>7.7860594145096246E-2</v>
      </c>
      <c r="Q498" s="343">
        <f t="shared" si="199"/>
        <v>-0.50303475869948455</v>
      </c>
      <c r="R498" s="344">
        <f t="shared" si="200"/>
        <v>-102.3004203342752</v>
      </c>
      <c r="S498" s="346">
        <f t="shared" si="201"/>
        <v>77.699579665724798</v>
      </c>
      <c r="U498" s="319">
        <f t="shared" si="207"/>
        <v>63463.25</v>
      </c>
      <c r="V498" s="319">
        <f t="shared" si="208"/>
        <v>4027584100.5625</v>
      </c>
      <c r="X498" s="345">
        <f t="shared" si="202"/>
        <v>37.129014027409269</v>
      </c>
      <c r="Y498" s="346">
        <f t="shared" si="203"/>
        <v>-13.760810954732667</v>
      </c>
      <c r="AA498" s="345">
        <f t="shared" si="204"/>
        <v>19.165998226808004</v>
      </c>
      <c r="AB498" s="346">
        <f t="shared" si="205"/>
        <v>-88.53960937954254</v>
      </c>
      <c r="AD498">
        <f t="shared" si="209"/>
        <v>0</v>
      </c>
      <c r="AE498">
        <f t="shared" si="212"/>
        <v>0</v>
      </c>
    </row>
    <row r="499" spans="1:31" x14ac:dyDescent="0.2">
      <c r="A499" s="347">
        <v>63830.5</v>
      </c>
      <c r="B499" s="364">
        <f t="shared" si="206"/>
        <v>63.830500000000001</v>
      </c>
      <c r="C499" s="337">
        <f t="shared" si="187"/>
        <v>126.68333294007817</v>
      </c>
      <c r="D499" s="338">
        <f t="shared" si="188"/>
        <v>1.562902546593812</v>
      </c>
      <c r="E499" s="338">
        <f t="shared" si="189"/>
        <v>1.0046217481302602</v>
      </c>
      <c r="F499" s="339">
        <f t="shared" si="190"/>
        <v>9.5958507584329472E-2</v>
      </c>
      <c r="G499" s="338">
        <f t="shared" si="191"/>
        <v>1</v>
      </c>
      <c r="H499" s="339">
        <f t="shared" si="192"/>
        <v>0</v>
      </c>
      <c r="I499" s="337">
        <f t="shared" si="193"/>
        <v>12075.235787797465</v>
      </c>
      <c r="J499" s="340">
        <f t="shared" si="194"/>
        <v>1.5707135126769185</v>
      </c>
      <c r="K499" s="348">
        <f t="shared" si="210"/>
        <v>11.429090959683885</v>
      </c>
      <c r="L499" s="349">
        <f t="shared" si="211"/>
        <v>1.4831882794979176</v>
      </c>
      <c r="M499" s="337">
        <f t="shared" si="195"/>
        <v>1.0118211839594495</v>
      </c>
      <c r="N499" s="340">
        <f t="shared" si="196"/>
        <v>0.15300912621978754</v>
      </c>
      <c r="O499" s="341">
        <f t="shared" si="197"/>
        <v>0.99898745888652951</v>
      </c>
      <c r="P499" s="342">
        <f t="shared" si="198"/>
        <v>7.8312985214429309E-2</v>
      </c>
      <c r="Q499" s="343">
        <f t="shared" si="199"/>
        <v>-0.55413625901111918</v>
      </c>
      <c r="R499" s="344">
        <f t="shared" si="200"/>
        <v>-102.31830948932416</v>
      </c>
      <c r="S499" s="346">
        <f t="shared" si="201"/>
        <v>77.681690510675836</v>
      </c>
      <c r="U499" s="319">
        <f t="shared" si="207"/>
        <v>63830.5</v>
      </c>
      <c r="V499" s="319">
        <f t="shared" si="208"/>
        <v>4074332730.25</v>
      </c>
      <c r="X499" s="345">
        <f t="shared" si="202"/>
        <v>37.127470431982999</v>
      </c>
      <c r="Y499" s="346">
        <f t="shared" si="203"/>
        <v>-13.781603637181252</v>
      </c>
      <c r="AA499" s="345">
        <f t="shared" si="204"/>
        <v>19.116440321922642</v>
      </c>
      <c r="AB499" s="346">
        <f t="shared" si="205"/>
        <v>-88.536705852142887</v>
      </c>
      <c r="AD499">
        <f t="shared" si="209"/>
        <v>0</v>
      </c>
      <c r="AE499">
        <f t="shared" si="212"/>
        <v>0</v>
      </c>
    </row>
    <row r="500" spans="1:31" x14ac:dyDescent="0.2">
      <c r="A500" s="347">
        <v>64197.75</v>
      </c>
      <c r="B500" s="364">
        <f t="shared" si="206"/>
        <v>64.197749999999999</v>
      </c>
      <c r="C500" s="337">
        <f t="shared" si="187"/>
        <v>127.41216262734308</v>
      </c>
      <c r="D500" s="338">
        <f t="shared" si="188"/>
        <v>1.5629477019362374</v>
      </c>
      <c r="E500" s="338">
        <f t="shared" si="189"/>
        <v>1.0046749596619422</v>
      </c>
      <c r="F500" s="339">
        <f t="shared" si="190"/>
        <v>9.6507194725239637E-2</v>
      </c>
      <c r="G500" s="338">
        <f t="shared" si="191"/>
        <v>1</v>
      </c>
      <c r="H500" s="339">
        <f t="shared" si="192"/>
        <v>0</v>
      </c>
      <c r="I500" s="337">
        <f t="shared" si="193"/>
        <v>12144.710886891819</v>
      </c>
      <c r="J500" s="340">
        <f t="shared" si="194"/>
        <v>1.5707139864238131</v>
      </c>
      <c r="K500" s="348">
        <f t="shared" si="210"/>
        <v>11.494346471561494</v>
      </c>
      <c r="L500" s="349">
        <f t="shared" si="211"/>
        <v>1.483686911920165</v>
      </c>
      <c r="M500" s="337">
        <f t="shared" si="195"/>
        <v>1.0119567961113318</v>
      </c>
      <c r="N500" s="340">
        <f t="shared" si="196"/>
        <v>0.1538756750685398</v>
      </c>
      <c r="O500" s="341">
        <f t="shared" si="197"/>
        <v>0.99897586501799895</v>
      </c>
      <c r="P500" s="342">
        <f t="shared" si="198"/>
        <v>7.8765407879850854E-2</v>
      </c>
      <c r="Q500" s="343">
        <f t="shared" si="199"/>
        <v>-0.60494692555469032</v>
      </c>
      <c r="R500" s="344">
        <f t="shared" si="200"/>
        <v>-102.33648835387574</v>
      </c>
      <c r="S500" s="346">
        <f t="shared" si="201"/>
        <v>77.663511646124263</v>
      </c>
      <c r="U500" s="319">
        <f t="shared" si="207"/>
        <v>64197.75</v>
      </c>
      <c r="V500" s="319">
        <f t="shared" si="208"/>
        <v>4121351105.0625</v>
      </c>
      <c r="X500" s="345">
        <f t="shared" si="202"/>
        <v>37.125927037899565</v>
      </c>
      <c r="Y500" s="346">
        <f t="shared" si="203"/>
        <v>-13.802710839355257</v>
      </c>
      <c r="AA500" s="345">
        <f t="shared" si="204"/>
        <v>19.067173049462507</v>
      </c>
      <c r="AB500" s="346">
        <f t="shared" si="205"/>
        <v>-88.533777514520452</v>
      </c>
      <c r="AD500">
        <f t="shared" si="209"/>
        <v>0</v>
      </c>
      <c r="AE500">
        <f t="shared" si="212"/>
        <v>0</v>
      </c>
    </row>
    <row r="501" spans="1:31" x14ac:dyDescent="0.2">
      <c r="A501" s="347">
        <v>64565</v>
      </c>
      <c r="B501" s="364">
        <f t="shared" si="206"/>
        <v>64.564999999999998</v>
      </c>
      <c r="C501" s="337">
        <f t="shared" si="187"/>
        <v>128.14099257144676</v>
      </c>
      <c r="D501" s="338">
        <f t="shared" si="188"/>
        <v>1.562992343616965</v>
      </c>
      <c r="E501" s="338">
        <f t="shared" si="189"/>
        <v>1.0047284736265438</v>
      </c>
      <c r="F501" s="339">
        <f t="shared" si="190"/>
        <v>9.7055823582827661E-2</v>
      </c>
      <c r="G501" s="338">
        <f t="shared" si="191"/>
        <v>1</v>
      </c>
      <c r="H501" s="339">
        <f t="shared" si="192"/>
        <v>0</v>
      </c>
      <c r="I501" s="337">
        <f t="shared" si="193"/>
        <v>12214.185985988868</v>
      </c>
      <c r="J501" s="340">
        <f t="shared" si="194"/>
        <v>1.5707144547812999</v>
      </c>
      <c r="K501" s="348">
        <f t="shared" si="210"/>
        <v>11.559604809061067</v>
      </c>
      <c r="L501" s="349">
        <f t="shared" si="211"/>
        <v>1.4841799145269274</v>
      </c>
      <c r="M501" s="337">
        <f t="shared" si="195"/>
        <v>1.0120931679445928</v>
      </c>
      <c r="N501" s="340">
        <f t="shared" si="196"/>
        <v>0.15474199104597577</v>
      </c>
      <c r="O501" s="341">
        <f t="shared" si="197"/>
        <v>0.99896420673165298</v>
      </c>
      <c r="P501" s="342">
        <f t="shared" si="198"/>
        <v>7.9217862322614629E-2</v>
      </c>
      <c r="Q501" s="343">
        <f t="shared" si="199"/>
        <v>-0.65547018153286729</v>
      </c>
      <c r="R501" s="344">
        <f t="shared" si="200"/>
        <v>-102.354951861209</v>
      </c>
      <c r="S501" s="346">
        <f t="shared" si="201"/>
        <v>77.645048138790997</v>
      </c>
      <c r="U501" s="319">
        <f t="shared" si="207"/>
        <v>64565</v>
      </c>
      <c r="V501" s="319">
        <f t="shared" si="208"/>
        <v>4168639225</v>
      </c>
      <c r="X501" s="345">
        <f t="shared" si="202"/>
        <v>37.124383702234176</v>
      </c>
      <c r="Y501" s="346">
        <f t="shared" si="203"/>
        <v>-13.824126954862423</v>
      </c>
      <c r="AA501" s="345">
        <f t="shared" si="204"/>
        <v>19.018193129149719</v>
      </c>
      <c r="AB501" s="346">
        <f t="shared" si="205"/>
        <v>-88.530824906346567</v>
      </c>
      <c r="AD501">
        <f t="shared" si="209"/>
        <v>0</v>
      </c>
      <c r="AE501">
        <f t="shared" si="212"/>
        <v>0</v>
      </c>
    </row>
    <row r="502" spans="1:31" x14ac:dyDescent="0.2">
      <c r="A502" s="347">
        <v>64941</v>
      </c>
      <c r="B502" s="364">
        <f t="shared" si="206"/>
        <v>64.941000000000003</v>
      </c>
      <c r="C502" s="337">
        <f t="shared" si="187"/>
        <v>128.88718768386019</v>
      </c>
      <c r="D502" s="338">
        <f t="shared" si="188"/>
        <v>1.5630375258527216</v>
      </c>
      <c r="E502" s="338">
        <f t="shared" si="189"/>
        <v>1.0047835758773396</v>
      </c>
      <c r="F502" s="339">
        <f t="shared" si="190"/>
        <v>9.7617463206471328E-2</v>
      </c>
      <c r="G502" s="338">
        <f t="shared" si="191"/>
        <v>1</v>
      </c>
      <c r="H502" s="339">
        <f t="shared" si="192"/>
        <v>0</v>
      </c>
      <c r="I502" s="337">
        <f t="shared" si="193"/>
        <v>12285.316380165852</v>
      </c>
      <c r="J502" s="340">
        <f t="shared" si="194"/>
        <v>1.5707149288096791</v>
      </c>
      <c r="K502" s="348">
        <f t="shared" si="210"/>
        <v>11.626420851929177</v>
      </c>
      <c r="L502" s="349">
        <f t="shared" si="211"/>
        <v>1.4846789294126446</v>
      </c>
      <c r="M502" s="337">
        <f t="shared" si="195"/>
        <v>1.0122335756628862</v>
      </c>
      <c r="N502" s="340">
        <f t="shared" si="196"/>
        <v>0.15562870511631519</v>
      </c>
      <c r="O502" s="341">
        <f t="shared" si="197"/>
        <v>0.99895220397745033</v>
      </c>
      <c r="P502" s="342">
        <f t="shared" si="198"/>
        <v>7.9681129934882439E-2</v>
      </c>
      <c r="Q502" s="343">
        <f t="shared" si="199"/>
        <v>-0.70690293897742185</v>
      </c>
      <c r="R502" s="344">
        <f t="shared" si="200"/>
        <v>-102.3741449983997</v>
      </c>
      <c r="S502" s="346">
        <f t="shared" si="201"/>
        <v>77.6258550016003</v>
      </c>
      <c r="U502" s="319">
        <f t="shared" si="207"/>
        <v>64941</v>
      </c>
      <c r="V502" s="319">
        <f t="shared" si="208"/>
        <v>4217333481</v>
      </c>
      <c r="X502" s="345">
        <f t="shared" si="202"/>
        <v>37.122803511121262</v>
      </c>
      <c r="Y502" s="346">
        <f t="shared" si="203"/>
        <v>-13.84636764171286</v>
      </c>
      <c r="AA502" s="345">
        <f t="shared" si="204"/>
        <v>18.968340562818074</v>
      </c>
      <c r="AB502" s="346">
        <f t="shared" si="205"/>
        <v>-88.527777356686869</v>
      </c>
      <c r="AD502">
        <f t="shared" si="209"/>
        <v>0</v>
      </c>
      <c r="AE502">
        <f t="shared" si="212"/>
        <v>0</v>
      </c>
    </row>
    <row r="503" spans="1:31" x14ac:dyDescent="0.2">
      <c r="A503" s="347">
        <v>65317</v>
      </c>
      <c r="B503" s="364">
        <f t="shared" si="206"/>
        <v>65.316999999999993</v>
      </c>
      <c r="C503" s="337">
        <f t="shared" si="187"/>
        <v>129.63338305635932</v>
      </c>
      <c r="D503" s="338">
        <f t="shared" si="188"/>
        <v>1.5630821879328118</v>
      </c>
      <c r="E503" s="338">
        <f t="shared" si="189"/>
        <v>1.0048389950413099</v>
      </c>
      <c r="F503" s="339">
        <f t="shared" si="190"/>
        <v>9.8179041055828156E-2</v>
      </c>
      <c r="G503" s="338">
        <f t="shared" si="191"/>
        <v>1</v>
      </c>
      <c r="H503" s="339">
        <f t="shared" si="192"/>
        <v>0</v>
      </c>
      <c r="I503" s="337">
        <f t="shared" si="193"/>
        <v>12356.446774345566</v>
      </c>
      <c r="J503" s="340">
        <f t="shared" si="194"/>
        <v>1.5707153973805308</v>
      </c>
      <c r="K503" s="348">
        <f t="shared" si="210"/>
        <v>11.693239756873661</v>
      </c>
      <c r="L503" s="349">
        <f t="shared" si="211"/>
        <v>1.4851722413593098</v>
      </c>
      <c r="M503" s="337">
        <f t="shared" si="195"/>
        <v>1.0123747790406872</v>
      </c>
      <c r="N503" s="340">
        <f t="shared" si="196"/>
        <v>0.15651517253038474</v>
      </c>
      <c r="O503" s="341">
        <f t="shared" si="197"/>
        <v>0.99894013377596891</v>
      </c>
      <c r="P503" s="342">
        <f t="shared" si="198"/>
        <v>8.0144431241251007E-2</v>
      </c>
      <c r="Q503" s="343">
        <f t="shared" si="199"/>
        <v>-0.75804149820184297</v>
      </c>
      <c r="R503" s="344">
        <f t="shared" si="200"/>
        <v>-102.39362611208402</v>
      </c>
      <c r="S503" s="346">
        <f t="shared" si="201"/>
        <v>77.606373887915979</v>
      </c>
      <c r="U503" s="319">
        <f t="shared" si="207"/>
        <v>65317</v>
      </c>
      <c r="V503" s="319">
        <f t="shared" si="208"/>
        <v>4266310489</v>
      </c>
      <c r="X503" s="345">
        <f t="shared" si="202"/>
        <v>37.121223091284186</v>
      </c>
      <c r="Y503" s="346">
        <f t="shared" si="203"/>
        <v>-13.868920637845598</v>
      </c>
      <c r="AA503" s="345">
        <f t="shared" si="204"/>
        <v>18.918782423430734</v>
      </c>
      <c r="AB503" s="346">
        <f t="shared" si="205"/>
        <v>-88.524705474238431</v>
      </c>
      <c r="AD503">
        <f t="shared" si="209"/>
        <v>0</v>
      </c>
      <c r="AE503">
        <f t="shared" si="212"/>
        <v>0</v>
      </c>
    </row>
    <row r="504" spans="1:31" x14ac:dyDescent="0.2">
      <c r="A504" s="347">
        <v>65693</v>
      </c>
      <c r="B504" s="364">
        <f t="shared" si="206"/>
        <v>65.692999999999998</v>
      </c>
      <c r="C504" s="337">
        <f t="shared" si="187"/>
        <v>130.3795786844785</v>
      </c>
      <c r="D504" s="338">
        <f t="shared" si="188"/>
        <v>1.5631263387880068</v>
      </c>
      <c r="E504" s="338">
        <f t="shared" si="189"/>
        <v>1.0048947310660219</v>
      </c>
      <c r="F504" s="339">
        <f t="shared" si="190"/>
        <v>9.8740556786938716E-2</v>
      </c>
      <c r="G504" s="338">
        <f t="shared" si="191"/>
        <v>1</v>
      </c>
      <c r="H504" s="339">
        <f t="shared" si="192"/>
        <v>0</v>
      </c>
      <c r="I504" s="337">
        <f t="shared" si="193"/>
        <v>12427.577168527963</v>
      </c>
      <c r="J504" s="340">
        <f t="shared" si="194"/>
        <v>1.5707158605875644</v>
      </c>
      <c r="K504" s="348">
        <f t="shared" si="210"/>
        <v>11.760061475108845</v>
      </c>
      <c r="L504" s="349">
        <f t="shared" si="211"/>
        <v>1.4856599473385768</v>
      </c>
      <c r="M504" s="337">
        <f t="shared" si="195"/>
        <v>1.0125167777451132</v>
      </c>
      <c r="N504" s="340">
        <f t="shared" si="196"/>
        <v>0.15740139199845604</v>
      </c>
      <c r="O504" s="341">
        <f t="shared" si="197"/>
        <v>0.99892799616635342</v>
      </c>
      <c r="P504" s="342">
        <f t="shared" si="198"/>
        <v>8.0607766436208955E-2</v>
      </c>
      <c r="Q504" s="343">
        <f t="shared" si="199"/>
        <v>-0.80888934224739473</v>
      </c>
      <c r="R504" s="344">
        <f t="shared" si="200"/>
        <v>-102.41339012021487</v>
      </c>
      <c r="S504" s="346">
        <f t="shared" si="201"/>
        <v>77.586609879785129</v>
      </c>
      <c r="U504" s="319">
        <f t="shared" si="207"/>
        <v>65693</v>
      </c>
      <c r="V504" s="319">
        <f t="shared" si="208"/>
        <v>4315570249</v>
      </c>
      <c r="X504" s="345">
        <f t="shared" si="202"/>
        <v>37.119642302472599</v>
      </c>
      <c r="Y504" s="346">
        <f t="shared" si="203"/>
        <v>-13.891780318667303</v>
      </c>
      <c r="AA504" s="345">
        <f t="shared" si="204"/>
        <v>18.869515368196769</v>
      </c>
      <c r="AB504" s="346">
        <f t="shared" si="205"/>
        <v>-88.521609801547584</v>
      </c>
      <c r="AD504">
        <f t="shared" si="209"/>
        <v>0</v>
      </c>
      <c r="AE504">
        <f t="shared" si="212"/>
        <v>0</v>
      </c>
    </row>
    <row r="505" spans="1:31" x14ac:dyDescent="0.2">
      <c r="A505" s="347">
        <v>66069</v>
      </c>
      <c r="B505" s="364">
        <f t="shared" si="206"/>
        <v>66.069000000000003</v>
      </c>
      <c r="C505" s="337">
        <f t="shared" si="187"/>
        <v>131.12577456385375</v>
      </c>
      <c r="D505" s="338">
        <f t="shared" si="188"/>
        <v>1.5631699871457974</v>
      </c>
      <c r="E505" s="338">
        <f t="shared" si="189"/>
        <v>1.0049507838987553</v>
      </c>
      <c r="F505" s="339">
        <f t="shared" si="190"/>
        <v>9.9302010056076404E-2</v>
      </c>
      <c r="G505" s="338">
        <f t="shared" si="191"/>
        <v>1</v>
      </c>
      <c r="H505" s="339">
        <f t="shared" si="192"/>
        <v>0</v>
      </c>
      <c r="I505" s="337">
        <f t="shared" si="193"/>
        <v>12498.707562712993</v>
      </c>
      <c r="J505" s="340">
        <f t="shared" si="194"/>
        <v>1.5707163185223574</v>
      </c>
      <c r="K505" s="348">
        <f t="shared" si="210"/>
        <v>11.826885958949592</v>
      </c>
      <c r="L505" s="349">
        <f t="shared" si="211"/>
        <v>1.4861421421412615</v>
      </c>
      <c r="M505" s="337">
        <f t="shared" si="195"/>
        <v>1.0126595714415934</v>
      </c>
      <c r="N505" s="340">
        <f t="shared" si="196"/>
        <v>0.15828736223307988</v>
      </c>
      <c r="O505" s="341">
        <f t="shared" si="197"/>
        <v>0.99891579118797691</v>
      </c>
      <c r="P505" s="342">
        <f t="shared" si="198"/>
        <v>8.107113571423398E-2</v>
      </c>
      <c r="Q505" s="343">
        <f t="shared" si="199"/>
        <v>-0.85944989282358997</v>
      </c>
      <c r="R505" s="344">
        <f t="shared" si="200"/>
        <v>-102.43343205404544</v>
      </c>
      <c r="S505" s="346">
        <f t="shared" si="201"/>
        <v>77.56656794595456</v>
      </c>
      <c r="U505" s="319">
        <f t="shared" si="207"/>
        <v>66069</v>
      </c>
      <c r="V505" s="319">
        <f t="shared" si="208"/>
        <v>4365112761</v>
      </c>
      <c r="X505" s="345">
        <f t="shared" si="202"/>
        <v>37.118061008573953</v>
      </c>
      <c r="Y505" s="346">
        <f t="shared" si="203"/>
        <v>-13.914941184545876</v>
      </c>
      <c r="AA505" s="345">
        <f t="shared" si="204"/>
        <v>18.820536111519225</v>
      </c>
      <c r="AB505" s="346">
        <f t="shared" si="205"/>
        <v>-88.51849086949953</v>
      </c>
      <c r="AD505">
        <f t="shared" si="209"/>
        <v>0</v>
      </c>
      <c r="AE505">
        <f t="shared" si="212"/>
        <v>0</v>
      </c>
    </row>
    <row r="506" spans="1:31" x14ac:dyDescent="0.2">
      <c r="A506" s="347">
        <v>66453.75</v>
      </c>
      <c r="B506" s="364">
        <f t="shared" si="206"/>
        <v>66.453749999999999</v>
      </c>
      <c r="C506" s="337">
        <f t="shared" si="187"/>
        <v>131.8893356295784</v>
      </c>
      <c r="D506" s="338">
        <f t="shared" si="188"/>
        <v>1.5632141399798407</v>
      </c>
      <c r="E506" s="338">
        <f t="shared" si="189"/>
        <v>1.005008469049758</v>
      </c>
      <c r="F506" s="339">
        <f t="shared" si="190"/>
        <v>9.9876464041962168E-2</v>
      </c>
      <c r="G506" s="338">
        <f t="shared" si="191"/>
        <v>1</v>
      </c>
      <c r="H506" s="339">
        <f t="shared" si="192"/>
        <v>0</v>
      </c>
      <c r="I506" s="337">
        <f t="shared" si="193"/>
        <v>12571.493251978154</v>
      </c>
      <c r="J506" s="340">
        <f t="shared" si="194"/>
        <v>1.57071678174953</v>
      </c>
      <c r="K506" s="348">
        <f t="shared" si="210"/>
        <v>11.89526834810712</v>
      </c>
      <c r="L506" s="349">
        <f t="shared" si="211"/>
        <v>1.4866299498478284</v>
      </c>
      <c r="M506" s="337">
        <f t="shared" si="195"/>
        <v>1.0128065107369264</v>
      </c>
      <c r="N506" s="340">
        <f t="shared" si="196"/>
        <v>0.15919369078450971</v>
      </c>
      <c r="O506" s="341">
        <f t="shared" si="197"/>
        <v>0.99890323248684831</v>
      </c>
      <c r="P506" s="342">
        <f t="shared" si="198"/>
        <v>8.1545323671793749E-2</v>
      </c>
      <c r="Q506" s="343">
        <f t="shared" si="199"/>
        <v>-0.91089315888022726</v>
      </c>
      <c r="R506" s="344">
        <f t="shared" si="200"/>
        <v>-102.4542230238726</v>
      </c>
      <c r="S506" s="346">
        <f t="shared" si="201"/>
        <v>77.545776976127399</v>
      </c>
      <c r="U506" s="319">
        <f t="shared" si="207"/>
        <v>66453.75</v>
      </c>
      <c r="V506" s="319">
        <f t="shared" si="208"/>
        <v>4416100889.0625</v>
      </c>
      <c r="X506" s="345">
        <f t="shared" si="202"/>
        <v>37.116442255295169</v>
      </c>
      <c r="Y506" s="346">
        <f t="shared" si="203"/>
        <v>-13.938947203584156</v>
      </c>
      <c r="AA506" s="345">
        <f t="shared" si="204"/>
        <v>18.770711598741372</v>
      </c>
      <c r="AB506" s="346">
        <f t="shared" si="205"/>
        <v>-88.515275820288466</v>
      </c>
      <c r="AD506">
        <f t="shared" si="209"/>
        <v>0</v>
      </c>
      <c r="AE506">
        <f t="shared" si="212"/>
        <v>0</v>
      </c>
    </row>
    <row r="507" spans="1:31" x14ac:dyDescent="0.2">
      <c r="A507" s="347">
        <v>66838.5</v>
      </c>
      <c r="B507" s="364">
        <f t="shared" si="206"/>
        <v>66.838499999999996</v>
      </c>
      <c r="C507" s="337">
        <f t="shared" si="187"/>
        <v>132.65289694945773</v>
      </c>
      <c r="D507" s="338">
        <f t="shared" si="188"/>
        <v>1.5632577845190572</v>
      </c>
      <c r="E507" s="338">
        <f t="shared" si="189"/>
        <v>1.0050664858127909</v>
      </c>
      <c r="F507" s="339">
        <f t="shared" si="190"/>
        <v>0.10045085189746358</v>
      </c>
      <c r="G507" s="338">
        <f t="shared" si="191"/>
        <v>1</v>
      </c>
      <c r="H507" s="339">
        <f t="shared" si="192"/>
        <v>0</v>
      </c>
      <c r="I507" s="337">
        <f t="shared" si="193"/>
        <v>12644.278941245979</v>
      </c>
      <c r="J507" s="340">
        <f t="shared" si="194"/>
        <v>1.5707172396436491</v>
      </c>
      <c r="K507" s="348">
        <f t="shared" si="210"/>
        <v>11.963653535460972</v>
      </c>
      <c r="L507" s="349">
        <f t="shared" si="211"/>
        <v>1.4871121809733925</v>
      </c>
      <c r="M507" s="337">
        <f t="shared" si="195"/>
        <v>1.0129542817416084</v>
      </c>
      <c r="N507" s="340">
        <f t="shared" si="196"/>
        <v>0.1600997556474027</v>
      </c>
      <c r="O507" s="341">
        <f t="shared" si="197"/>
        <v>0.99889060332910651</v>
      </c>
      <c r="P507" s="342">
        <f t="shared" si="198"/>
        <v>8.2019547729164116E-2</v>
      </c>
      <c r="Q507" s="343">
        <f t="shared" si="199"/>
        <v>-0.96204266299875618</v>
      </c>
      <c r="R507" s="344">
        <f t="shared" si="200"/>
        <v>-102.47529482866436</v>
      </c>
      <c r="S507" s="346">
        <f t="shared" si="201"/>
        <v>77.52470517133564</v>
      </c>
      <c r="U507" s="319">
        <f t="shared" si="207"/>
        <v>66838.5</v>
      </c>
      <c r="V507" s="319">
        <f t="shared" si="208"/>
        <v>4467385082.25</v>
      </c>
      <c r="X507" s="345">
        <f t="shared" si="202"/>
        <v>37.114822697467666</v>
      </c>
      <c r="Y507" s="346">
        <f t="shared" si="203"/>
        <v>-13.963257323376618</v>
      </c>
      <c r="AA507" s="345">
        <f t="shared" si="204"/>
        <v>18.72118165245034</v>
      </c>
      <c r="AB507" s="346">
        <f t="shared" si="205"/>
        <v>-88.512037505287751</v>
      </c>
      <c r="AD507">
        <f t="shared" si="209"/>
        <v>0</v>
      </c>
      <c r="AE507">
        <f t="shared" si="212"/>
        <v>0</v>
      </c>
    </row>
    <row r="508" spans="1:31" x14ac:dyDescent="0.2">
      <c r="A508" s="347">
        <v>67223.25</v>
      </c>
      <c r="B508" s="364">
        <f t="shared" si="206"/>
        <v>67.223249999999993</v>
      </c>
      <c r="C508" s="337">
        <f t="shared" si="187"/>
        <v>133.4164585191281</v>
      </c>
      <c r="D508" s="338">
        <f t="shared" si="188"/>
        <v>1.5633009294904119</v>
      </c>
      <c r="E508" s="338">
        <f t="shared" si="189"/>
        <v>1.0051248341304309</v>
      </c>
      <c r="F508" s="339">
        <f t="shared" si="190"/>
        <v>0.10102517325505925</v>
      </c>
      <c r="G508" s="338">
        <f t="shared" si="191"/>
        <v>1</v>
      </c>
      <c r="H508" s="339">
        <f t="shared" si="192"/>
        <v>0</v>
      </c>
      <c r="I508" s="337">
        <f t="shared" si="193"/>
        <v>12717.064630516423</v>
      </c>
      <c r="J508" s="340">
        <f t="shared" si="194"/>
        <v>1.5707176922962851</v>
      </c>
      <c r="K508" s="348">
        <f t="shared" si="210"/>
        <v>12.032041473299753</v>
      </c>
      <c r="L508" s="349">
        <f t="shared" si="211"/>
        <v>1.4875889303805565</v>
      </c>
      <c r="M508" s="337">
        <f t="shared" si="195"/>
        <v>1.0131028840917009</v>
      </c>
      <c r="N508" s="340">
        <f t="shared" si="196"/>
        <v>0.16100555544979619</v>
      </c>
      <c r="O508" s="341">
        <f t="shared" si="197"/>
        <v>0.9988779037576806</v>
      </c>
      <c r="P508" s="342">
        <f t="shared" si="198"/>
        <v>8.2493808094682583E-2</v>
      </c>
      <c r="Q508" s="343">
        <f t="shared" si="199"/>
        <v>-1.0129018811825627</v>
      </c>
      <c r="R508" s="344">
        <f t="shared" si="200"/>
        <v>-102.4966424928454</v>
      </c>
      <c r="S508" s="346">
        <f t="shared" si="201"/>
        <v>77.503357507154604</v>
      </c>
      <c r="U508" s="319">
        <f t="shared" si="207"/>
        <v>67223.25</v>
      </c>
      <c r="V508" s="319">
        <f t="shared" si="208"/>
        <v>4518965340.5625</v>
      </c>
      <c r="X508" s="345">
        <f t="shared" si="202"/>
        <v>37.113202201825423</v>
      </c>
      <c r="Y508" s="346">
        <f t="shared" si="203"/>
        <v>-13.987866035335442</v>
      </c>
      <c r="AA508" s="345">
        <f t="shared" si="204"/>
        <v>18.67194292990877</v>
      </c>
      <c r="AB508" s="346">
        <f t="shared" si="205"/>
        <v>-88.508776457509953</v>
      </c>
      <c r="AD508">
        <f t="shared" si="209"/>
        <v>0</v>
      </c>
      <c r="AE508">
        <f t="shared" si="212"/>
        <v>0</v>
      </c>
    </row>
    <row r="509" spans="1:31" x14ac:dyDescent="0.2">
      <c r="A509" s="347">
        <v>67608</v>
      </c>
      <c r="B509" s="364">
        <f t="shared" si="206"/>
        <v>67.608000000000004</v>
      </c>
      <c r="C509" s="337">
        <f t="shared" si="187"/>
        <v>134.18002033432515</v>
      </c>
      <c r="D509" s="338">
        <f t="shared" si="188"/>
        <v>1.5633435834222322</v>
      </c>
      <c r="E509" s="338">
        <f t="shared" si="189"/>
        <v>1.0051835139449405</v>
      </c>
      <c r="F509" s="339">
        <f t="shared" si="190"/>
        <v>0.10159942774748831</v>
      </c>
      <c r="G509" s="338">
        <f t="shared" si="191"/>
        <v>1</v>
      </c>
      <c r="H509" s="339">
        <f t="shared" si="192"/>
        <v>0</v>
      </c>
      <c r="I509" s="337">
        <f t="shared" si="193"/>
        <v>12789.850319789444</v>
      </c>
      <c r="J509" s="340">
        <f t="shared" si="194"/>
        <v>1.5707181397969243</v>
      </c>
      <c r="K509" s="348">
        <f t="shared" si="210"/>
        <v>12.100432114988763</v>
      </c>
      <c r="L509" s="349">
        <f t="shared" si="211"/>
        <v>1.4880602907973985</v>
      </c>
      <c r="M509" s="337">
        <f t="shared" si="195"/>
        <v>1.0132523174214314</v>
      </c>
      <c r="N509" s="340">
        <f t="shared" si="196"/>
        <v>0.16191108882226987</v>
      </c>
      <c r="O509" s="341">
        <f t="shared" si="197"/>
        <v>0.99886513381575026</v>
      </c>
      <c r="P509" s="342">
        <f t="shared" si="198"/>
        <v>8.2968104976674478E-2</v>
      </c>
      <c r="Q509" s="343">
        <f t="shared" si="199"/>
        <v>-1.0634742282860867</v>
      </c>
      <c r="R509" s="344">
        <f t="shared" si="200"/>
        <v>-102.51826115176915</v>
      </c>
      <c r="S509" s="346">
        <f t="shared" si="201"/>
        <v>77.481738848230847</v>
      </c>
      <c r="U509" s="319">
        <f t="shared" si="207"/>
        <v>67608</v>
      </c>
      <c r="V509" s="319">
        <f t="shared" si="208"/>
        <v>4570841664</v>
      </c>
      <c r="X509" s="345">
        <f t="shared" si="202"/>
        <v>37.111580639061629</v>
      </c>
      <c r="Y509" s="346">
        <f t="shared" si="203"/>
        <v>-14.012767953198265</v>
      </c>
      <c r="AA509" s="345">
        <f t="shared" si="204"/>
        <v>18.622992145569047</v>
      </c>
      <c r="AB509" s="346">
        <f t="shared" si="205"/>
        <v>-88.505493198570875</v>
      </c>
      <c r="AD509">
        <f t="shared" si="209"/>
        <v>0</v>
      </c>
      <c r="AE509">
        <f t="shared" si="212"/>
        <v>0</v>
      </c>
    </row>
    <row r="510" spans="1:31" x14ac:dyDescent="0.2">
      <c r="A510" s="347">
        <v>68001.75</v>
      </c>
      <c r="B510" s="364">
        <f t="shared" si="206"/>
        <v>68.001750000000001</v>
      </c>
      <c r="C510" s="337">
        <f t="shared" si="187"/>
        <v>134.96144349447502</v>
      </c>
      <c r="D510" s="338">
        <f t="shared" si="188"/>
        <v>1.5633867353997044</v>
      </c>
      <c r="E510" s="338">
        <f t="shared" si="189"/>
        <v>1.0052439095451466</v>
      </c>
      <c r="F510" s="339">
        <f t="shared" si="190"/>
        <v>0.10218704548099744</v>
      </c>
      <c r="G510" s="338">
        <f t="shared" si="191"/>
        <v>1</v>
      </c>
      <c r="H510" s="339">
        <f t="shared" si="192"/>
        <v>0</v>
      </c>
      <c r="I510" s="337">
        <f t="shared" si="193"/>
        <v>12864.338598287848</v>
      </c>
      <c r="J510" s="340">
        <f t="shared" si="194"/>
        <v>1.570718592522484</v>
      </c>
      <c r="K510" s="348">
        <f t="shared" si="210"/>
        <v>12.170425289669833</v>
      </c>
      <c r="L510" s="349">
        <f t="shared" si="211"/>
        <v>1.4885371922150303</v>
      </c>
      <c r="M510" s="337">
        <f t="shared" si="195"/>
        <v>1.0134061062482325</v>
      </c>
      <c r="N510" s="340">
        <f t="shared" si="196"/>
        <v>0.16283752698448531</v>
      </c>
      <c r="O510" s="341">
        <f t="shared" si="197"/>
        <v>0.9988519923481487</v>
      </c>
      <c r="P510" s="342">
        <f t="shared" si="198"/>
        <v>8.3453534547677094E-2</v>
      </c>
      <c r="Q510" s="343">
        <f t="shared" si="199"/>
        <v>-1.1149360395583348</v>
      </c>
      <c r="R510" s="344">
        <f t="shared" si="200"/>
        <v>-102.54066112501829</v>
      </c>
      <c r="S510" s="346">
        <f t="shared" si="201"/>
        <v>77.459338874981711</v>
      </c>
      <c r="U510" s="319">
        <f t="shared" si="207"/>
        <v>68001.75</v>
      </c>
      <c r="V510" s="319">
        <f t="shared" si="208"/>
        <v>4624238003.0625</v>
      </c>
      <c r="X510" s="345">
        <f t="shared" si="202"/>
        <v>37.109919909241633</v>
      </c>
      <c r="Y510" s="346">
        <f t="shared" si="203"/>
        <v>-14.038550450692266</v>
      </c>
      <c r="AA510" s="345">
        <f t="shared" si="204"/>
        <v>18.573191064116795</v>
      </c>
      <c r="AB510" s="346">
        <f t="shared" si="205"/>
        <v>-88.502110674325991</v>
      </c>
      <c r="AD510">
        <f t="shared" si="209"/>
        <v>0</v>
      </c>
      <c r="AE510">
        <f t="shared" si="212"/>
        <v>0</v>
      </c>
    </row>
    <row r="511" spans="1:31" x14ac:dyDescent="0.2">
      <c r="A511" s="347">
        <v>68395.5</v>
      </c>
      <c r="B511" s="364">
        <f t="shared" si="206"/>
        <v>68.395499999999998</v>
      </c>
      <c r="C511" s="337">
        <f t="shared" si="187"/>
        <v>135.74286690304226</v>
      </c>
      <c r="D511" s="338">
        <f t="shared" si="188"/>
        <v>1.5634293905560801</v>
      </c>
      <c r="E511" s="338">
        <f t="shared" si="189"/>
        <v>1.0053046522088713</v>
      </c>
      <c r="F511" s="339">
        <f t="shared" si="190"/>
        <v>0.10277459240711488</v>
      </c>
      <c r="G511" s="338">
        <f t="shared" si="191"/>
        <v>1</v>
      </c>
      <c r="H511" s="339">
        <f t="shared" si="192"/>
        <v>0</v>
      </c>
      <c r="I511" s="337">
        <f t="shared" si="193"/>
        <v>12938.82687678886</v>
      </c>
      <c r="J511" s="340">
        <f t="shared" si="194"/>
        <v>1.5707190400353999</v>
      </c>
      <c r="K511" s="348">
        <f t="shared" si="210"/>
        <v>12.240421200675025</v>
      </c>
      <c r="L511" s="349">
        <f t="shared" si="211"/>
        <v>1.4890086394904154</v>
      </c>
      <c r="M511" s="337">
        <f t="shared" si="195"/>
        <v>1.0135607646046125</v>
      </c>
      <c r="N511" s="340">
        <f t="shared" si="196"/>
        <v>0.16376368321261928</v>
      </c>
      <c r="O511" s="341">
        <f t="shared" si="197"/>
        <v>0.99883877727165882</v>
      </c>
      <c r="P511" s="342">
        <f t="shared" si="198"/>
        <v>8.3939002804942126E-2</v>
      </c>
      <c r="Q511" s="343">
        <f t="shared" si="199"/>
        <v>-1.1661044485072778</v>
      </c>
      <c r="R511" s="344">
        <f t="shared" si="200"/>
        <v>-102.56333495307609</v>
      </c>
      <c r="S511" s="346">
        <f t="shared" si="201"/>
        <v>77.436665046923906</v>
      </c>
      <c r="U511" s="319">
        <f t="shared" si="207"/>
        <v>68395.5</v>
      </c>
      <c r="V511" s="319">
        <f t="shared" si="208"/>
        <v>4677944420.25</v>
      </c>
      <c r="X511" s="345">
        <f t="shared" si="202"/>
        <v>37.108257799906752</v>
      </c>
      <c r="Y511" s="346">
        <f t="shared" si="203"/>
        <v>-14.064628995222746</v>
      </c>
      <c r="AA511" s="345">
        <f t="shared" si="204"/>
        <v>18.523684764502729</v>
      </c>
      <c r="AB511" s="346">
        <f t="shared" si="205"/>
        <v>-88.498705957853346</v>
      </c>
      <c r="AD511">
        <f t="shared" si="209"/>
        <v>0</v>
      </c>
      <c r="AE511">
        <f t="shared" si="212"/>
        <v>0</v>
      </c>
    </row>
    <row r="512" spans="1:31" x14ac:dyDescent="0.2">
      <c r="A512" s="347">
        <v>68789.25</v>
      </c>
      <c r="B512" s="364">
        <f t="shared" si="206"/>
        <v>68.789249999999996</v>
      </c>
      <c r="C512" s="337">
        <f t="shared" si="187"/>
        <v>136.52429055576124</v>
      </c>
      <c r="D512" s="338">
        <f t="shared" si="188"/>
        <v>1.5634715574221629</v>
      </c>
      <c r="E512" s="338">
        <f t="shared" si="189"/>
        <v>1.0053657418732074</v>
      </c>
      <c r="F512" s="339">
        <f t="shared" si="190"/>
        <v>0.103362068133056</v>
      </c>
      <c r="G512" s="338">
        <f t="shared" si="191"/>
        <v>1</v>
      </c>
      <c r="H512" s="339">
        <f t="shared" si="192"/>
        <v>0</v>
      </c>
      <c r="I512" s="337">
        <f t="shared" si="193"/>
        <v>13013.315155292432</v>
      </c>
      <c r="J512" s="340">
        <f t="shared" si="194"/>
        <v>1.5707194824251838</v>
      </c>
      <c r="K512" s="348">
        <f t="shared" si="210"/>
        <v>12.310419801328882</v>
      </c>
      <c r="L512" s="349">
        <f t="shared" si="211"/>
        <v>1.4894747254509983</v>
      </c>
      <c r="M512" s="337">
        <f t="shared" si="195"/>
        <v>1.0137162920925902</v>
      </c>
      <c r="N512" s="340">
        <f t="shared" si="196"/>
        <v>0.16468955604722785</v>
      </c>
      <c r="O512" s="341">
        <f t="shared" si="197"/>
        <v>0.99882548863337739</v>
      </c>
      <c r="P512" s="342">
        <f t="shared" si="198"/>
        <v>8.4424509971718423E-2</v>
      </c>
      <c r="Q512" s="343">
        <f t="shared" si="199"/>
        <v>-1.2169829255619504</v>
      </c>
      <c r="R512" s="344">
        <f t="shared" si="200"/>
        <v>-102.58627776290568</v>
      </c>
      <c r="S512" s="346">
        <f t="shared" si="201"/>
        <v>77.413722237094319</v>
      </c>
      <c r="U512" s="319">
        <f t="shared" si="207"/>
        <v>68789.25</v>
      </c>
      <c r="V512" s="319">
        <f t="shared" si="208"/>
        <v>4731960915.5625</v>
      </c>
      <c r="X512" s="345">
        <f t="shared" si="202"/>
        <v>37.106594184496728</v>
      </c>
      <c r="Y512" s="346">
        <f t="shared" si="203"/>
        <v>-14.090998189677581</v>
      </c>
      <c r="AA512" s="345">
        <f t="shared" si="204"/>
        <v>18.474469902858079</v>
      </c>
      <c r="AB512" s="346">
        <f t="shared" si="205"/>
        <v>-88.495279573228103</v>
      </c>
      <c r="AD512">
        <f t="shared" si="209"/>
        <v>0</v>
      </c>
      <c r="AE512">
        <f t="shared" si="212"/>
        <v>0</v>
      </c>
    </row>
    <row r="513" spans="1:31" x14ac:dyDescent="0.2">
      <c r="A513" s="347">
        <v>69183</v>
      </c>
      <c r="B513" s="364">
        <f t="shared" si="206"/>
        <v>69.183000000000007</v>
      </c>
      <c r="C513" s="337">
        <f t="shared" si="187"/>
        <v>137.30571444846356</v>
      </c>
      <c r="D513" s="338">
        <f t="shared" si="188"/>
        <v>1.5635132443345638</v>
      </c>
      <c r="E513" s="338">
        <f t="shared" si="189"/>
        <v>1.0054271784749036</v>
      </c>
      <c r="F513" s="339">
        <f t="shared" si="190"/>
        <v>0.10394947226632795</v>
      </c>
      <c r="G513" s="338">
        <f t="shared" si="191"/>
        <v>1</v>
      </c>
      <c r="H513" s="339">
        <f t="shared" si="192"/>
        <v>0</v>
      </c>
      <c r="I513" s="337">
        <f t="shared" si="193"/>
        <v>13087.803433798519</v>
      </c>
      <c r="J513" s="340">
        <f t="shared" si="194"/>
        <v>1.5707199197793091</v>
      </c>
      <c r="K513" s="348">
        <f t="shared" si="210"/>
        <v>12.380421046009776</v>
      </c>
      <c r="L513" s="349">
        <f t="shared" si="211"/>
        <v>1.4899355408342079</v>
      </c>
      <c r="M513" s="337">
        <f t="shared" si="195"/>
        <v>1.0138726883121925</v>
      </c>
      <c r="N513" s="340">
        <f t="shared" si="196"/>
        <v>0.16561514403170369</v>
      </c>
      <c r="O513" s="341">
        <f t="shared" si="197"/>
        <v>0.99881212648067574</v>
      </c>
      <c r="P513" s="342">
        <f t="shared" si="198"/>
        <v>8.491005627124093E-2</v>
      </c>
      <c r="Q513" s="343">
        <f t="shared" si="199"/>
        <v>-1.2675748801489051</v>
      </c>
      <c r="R513" s="344">
        <f t="shared" si="200"/>
        <v>-102.6094847901209</v>
      </c>
      <c r="S513" s="346">
        <f t="shared" si="201"/>
        <v>77.390515209879098</v>
      </c>
      <c r="U513" s="319">
        <f t="shared" si="207"/>
        <v>69183</v>
      </c>
      <c r="V513" s="319">
        <f t="shared" si="208"/>
        <v>4786287489</v>
      </c>
      <c r="X513" s="345">
        <f t="shared" si="202"/>
        <v>37.104928940241585</v>
      </c>
      <c r="Y513" s="346">
        <f t="shared" si="203"/>
        <v>-14.117652756739451</v>
      </c>
      <c r="AA513" s="345">
        <f t="shared" si="204"/>
        <v>18.42554319252627</v>
      </c>
      <c r="AB513" s="346">
        <f t="shared" si="205"/>
        <v>-88.491832033381485</v>
      </c>
      <c r="AD513">
        <f t="shared" si="209"/>
        <v>0</v>
      </c>
      <c r="AE513">
        <f t="shared" si="212"/>
        <v>0</v>
      </c>
    </row>
    <row r="514" spans="1:31" x14ac:dyDescent="0.2">
      <c r="A514" s="347">
        <v>69586</v>
      </c>
      <c r="B514" s="364">
        <f t="shared" si="206"/>
        <v>69.585999999999999</v>
      </c>
      <c r="C514" s="337">
        <f t="shared" si="187"/>
        <v>138.10549584512216</v>
      </c>
      <c r="D514" s="338">
        <f t="shared" si="188"/>
        <v>1.5635554220620023</v>
      </c>
      <c r="E514" s="338">
        <f t="shared" si="189"/>
        <v>1.0054904175412815</v>
      </c>
      <c r="F514" s="339">
        <f t="shared" si="190"/>
        <v>0.10455060119027397</v>
      </c>
      <c r="G514" s="338">
        <f t="shared" si="191"/>
        <v>1</v>
      </c>
      <c r="H514" s="339">
        <f t="shared" si="192"/>
        <v>0</v>
      </c>
      <c r="I514" s="337">
        <f t="shared" si="193"/>
        <v>13164.041595675253</v>
      </c>
      <c r="J514" s="340">
        <f t="shared" si="194"/>
        <v>1.5707203622825017</v>
      </c>
      <c r="K514" s="348">
        <f t="shared" si="210"/>
        <v>12.452069455765697</v>
      </c>
      <c r="L514" s="349">
        <f t="shared" si="211"/>
        <v>1.4904018165280197</v>
      </c>
      <c r="M514" s="337">
        <f t="shared" si="195"/>
        <v>1.0140336577659985</v>
      </c>
      <c r="N514" s="340">
        <f t="shared" si="196"/>
        <v>0.16656217950440999</v>
      </c>
      <c r="O514" s="341">
        <f t="shared" si="197"/>
        <v>0.99879837434794783</v>
      </c>
      <c r="P514" s="342">
        <f t="shared" si="198"/>
        <v>8.5407049810726499E-2</v>
      </c>
      <c r="Q514" s="343">
        <f t="shared" si="199"/>
        <v>-1.3190621417295407</v>
      </c>
      <c r="R514" s="344">
        <f t="shared" si="200"/>
        <v>-102.63350573774812</v>
      </c>
      <c r="S514" s="346">
        <f t="shared" si="201"/>
        <v>77.366494262251877</v>
      </c>
      <c r="U514" s="319">
        <f t="shared" si="207"/>
        <v>69586</v>
      </c>
      <c r="V514" s="319">
        <f t="shared" si="208"/>
        <v>4842211396</v>
      </c>
      <c r="X514" s="345">
        <f t="shared" si="202"/>
        <v>37.103222764990726</v>
      </c>
      <c r="Y514" s="346">
        <f t="shared" si="203"/>
        <v>-14.145223616626605</v>
      </c>
      <c r="AA514" s="345">
        <f t="shared" si="204"/>
        <v>18.375762106196493</v>
      </c>
      <c r="AB514" s="346">
        <f t="shared" si="205"/>
        <v>-88.488282121121529</v>
      </c>
      <c r="AD514">
        <f t="shared" si="209"/>
        <v>0</v>
      </c>
      <c r="AE514">
        <f t="shared" si="212"/>
        <v>0</v>
      </c>
    </row>
    <row r="515" spans="1:31" x14ac:dyDescent="0.2">
      <c r="A515" s="347">
        <v>69989</v>
      </c>
      <c r="B515" s="364">
        <f t="shared" si="206"/>
        <v>69.989000000000004</v>
      </c>
      <c r="C515" s="337">
        <f t="shared" si="187"/>
        <v>138.90527748463589</v>
      </c>
      <c r="D515" s="338">
        <f t="shared" si="188"/>
        <v>1.5635971140920284</v>
      </c>
      <c r="E515" s="338">
        <f t="shared" si="189"/>
        <v>1.0055540199018604</v>
      </c>
      <c r="F515" s="339">
        <f t="shared" si="190"/>
        <v>0.10515165428730448</v>
      </c>
      <c r="G515" s="338">
        <f t="shared" si="191"/>
        <v>1</v>
      </c>
      <c r="H515" s="339">
        <f t="shared" si="192"/>
        <v>0</v>
      </c>
      <c r="I515" s="337">
        <f t="shared" si="193"/>
        <v>13240.279757554534</v>
      </c>
      <c r="J515" s="340">
        <f t="shared" si="194"/>
        <v>1.5707207996897854</v>
      </c>
      <c r="K515" s="348">
        <f t="shared" si="210"/>
        <v>12.523720541786984</v>
      </c>
      <c r="L515" s="349">
        <f t="shared" si="211"/>
        <v>1.4908627569800914</v>
      </c>
      <c r="M515" s="337">
        <f t="shared" si="195"/>
        <v>1.0141955363932755</v>
      </c>
      <c r="N515" s="340">
        <f t="shared" si="196"/>
        <v>0.16750891350795624</v>
      </c>
      <c r="O515" s="341">
        <f t="shared" si="197"/>
        <v>0.9987845453075137</v>
      </c>
      <c r="P515" s="342">
        <f t="shared" si="198"/>
        <v>8.5904084816314646E-2</v>
      </c>
      <c r="Q515" s="343">
        <f t="shared" si="199"/>
        <v>-1.3702562979705082</v>
      </c>
      <c r="R515" s="344">
        <f t="shared" si="200"/>
        <v>-102.65779369930851</v>
      </c>
      <c r="S515" s="346">
        <f t="shared" si="201"/>
        <v>77.342206300691487</v>
      </c>
      <c r="U515" s="319">
        <f t="shared" si="207"/>
        <v>69989</v>
      </c>
      <c r="V515" s="319">
        <f t="shared" si="208"/>
        <v>4898460121</v>
      </c>
      <c r="X515" s="345">
        <f t="shared" si="202"/>
        <v>37.101514634854922</v>
      </c>
      <c r="Y515" s="346">
        <f t="shared" si="203"/>
        <v>-14.173082598463878</v>
      </c>
      <c r="AA515" s="345">
        <f t="shared" si="204"/>
        <v>18.326276080091329</v>
      </c>
      <c r="AB515" s="346">
        <f t="shared" si="205"/>
        <v>-88.484711100844621</v>
      </c>
      <c r="AD515">
        <f t="shared" si="209"/>
        <v>0</v>
      </c>
      <c r="AE515">
        <f t="shared" si="212"/>
        <v>0</v>
      </c>
    </row>
    <row r="516" spans="1:31" x14ac:dyDescent="0.2">
      <c r="A516" s="347">
        <v>70392</v>
      </c>
      <c r="B516" s="364">
        <f t="shared" si="206"/>
        <v>70.391999999999996</v>
      </c>
      <c r="C516" s="337">
        <f t="shared" si="187"/>
        <v>139.70505936283377</v>
      </c>
      <c r="D516" s="338">
        <f t="shared" si="188"/>
        <v>1.5636383287660409</v>
      </c>
      <c r="E516" s="338">
        <f t="shared" si="189"/>
        <v>1.0056179854877088</v>
      </c>
      <c r="F516" s="339">
        <f t="shared" si="190"/>
        <v>0.10575263113756973</v>
      </c>
      <c r="G516" s="338">
        <f t="shared" si="191"/>
        <v>1</v>
      </c>
      <c r="H516" s="339">
        <f t="shared" si="192"/>
        <v>0</v>
      </c>
      <c r="I516" s="337">
        <f t="shared" si="193"/>
        <v>13316.517919436317</v>
      </c>
      <c r="J516" s="340">
        <f t="shared" si="194"/>
        <v>1.5707212320886836</v>
      </c>
      <c r="K516" s="348">
        <f t="shared" si="210"/>
        <v>12.595374258400366</v>
      </c>
      <c r="L516" s="349">
        <f t="shared" si="211"/>
        <v>1.4913184530476968</v>
      </c>
      <c r="M516" s="337">
        <f t="shared" si="195"/>
        <v>1.0143583237587461</v>
      </c>
      <c r="N516" s="340">
        <f t="shared" si="196"/>
        <v>0.168455344489957</v>
      </c>
      <c r="O516" s="341">
        <f t="shared" si="197"/>
        <v>0.99877063941105793</v>
      </c>
      <c r="P516" s="342">
        <f t="shared" si="198"/>
        <v>8.6401161527299902E-2</v>
      </c>
      <c r="Q516" s="343">
        <f t="shared" si="199"/>
        <v>-1.4211608149367634</v>
      </c>
      <c r="R516" s="344">
        <f t="shared" si="200"/>
        <v>-102.6823439008264</v>
      </c>
      <c r="S516" s="346">
        <f t="shared" si="201"/>
        <v>77.317656099173604</v>
      </c>
      <c r="U516" s="319">
        <f t="shared" si="207"/>
        <v>70392</v>
      </c>
      <c r="V516" s="319">
        <f t="shared" si="208"/>
        <v>4955033664</v>
      </c>
      <c r="X516" s="345">
        <f t="shared" si="202"/>
        <v>37.099804429732501</v>
      </c>
      <c r="Y516" s="346">
        <f t="shared" si="203"/>
        <v>-14.201224412582542</v>
      </c>
      <c r="AA516" s="345">
        <f t="shared" si="204"/>
        <v>18.277081768247495</v>
      </c>
      <c r="AB516" s="346">
        <f t="shared" si="205"/>
        <v>-88.481119488243891</v>
      </c>
      <c r="AD516">
        <f t="shared" si="209"/>
        <v>0</v>
      </c>
      <c r="AE516">
        <f t="shared" si="212"/>
        <v>0</v>
      </c>
    </row>
    <row r="517" spans="1:31" x14ac:dyDescent="0.2">
      <c r="A517" s="347">
        <v>70795</v>
      </c>
      <c r="B517" s="364">
        <f t="shared" si="206"/>
        <v>70.795000000000002</v>
      </c>
      <c r="C517" s="337">
        <f t="shared" si="187"/>
        <v>140.50484147563995</v>
      </c>
      <c r="D517" s="338">
        <f t="shared" si="188"/>
        <v>1.5636790742355207</v>
      </c>
      <c r="E517" s="338">
        <f t="shared" si="189"/>
        <v>1.0056823142295186</v>
      </c>
      <c r="F517" s="339">
        <f t="shared" si="190"/>
        <v>0.10635353132154668</v>
      </c>
      <c r="G517" s="338">
        <f t="shared" si="191"/>
        <v>1</v>
      </c>
      <c r="H517" s="339">
        <f t="shared" si="192"/>
        <v>0</v>
      </c>
      <c r="I517" s="337">
        <f t="shared" si="193"/>
        <v>13392.756081320562</v>
      </c>
      <c r="J517" s="340">
        <f t="shared" si="194"/>
        <v>1.5707216595647271</v>
      </c>
      <c r="K517" s="348">
        <f t="shared" si="210"/>
        <v>12.667030560964349</v>
      </c>
      <c r="L517" s="349">
        <f t="shared" si="211"/>
        <v>1.4917689935410483</v>
      </c>
      <c r="M517" s="337">
        <f t="shared" si="195"/>
        <v>1.0145220194249696</v>
      </c>
      <c r="N517" s="340">
        <f t="shared" si="196"/>
        <v>0.16940147090119187</v>
      </c>
      <c r="O517" s="341">
        <f t="shared" si="197"/>
        <v>0.99875665671056713</v>
      </c>
      <c r="P517" s="342">
        <f t="shared" si="198"/>
        <v>8.6898280182961099E-2</v>
      </c>
      <c r="Q517" s="343">
        <f t="shared" si="199"/>
        <v>-1.4717790978068672</v>
      </c>
      <c r="R517" s="344">
        <f t="shared" si="200"/>
        <v>-102.70715167478029</v>
      </c>
      <c r="S517" s="346">
        <f t="shared" si="201"/>
        <v>77.292848325219708</v>
      </c>
      <c r="U517" s="319">
        <f t="shared" si="207"/>
        <v>70795</v>
      </c>
      <c r="V517" s="319">
        <f t="shared" si="208"/>
        <v>5011932025</v>
      </c>
      <c r="X517" s="345">
        <f t="shared" si="202"/>
        <v>37.098092033152021</v>
      </c>
      <c r="Y517" s="346">
        <f t="shared" si="203"/>
        <v>-14.229643886668988</v>
      </c>
      <c r="AA517" s="345">
        <f t="shared" si="204"/>
        <v>18.228175881957874</v>
      </c>
      <c r="AB517" s="346">
        <f t="shared" si="205"/>
        <v>-88.477507788111325</v>
      </c>
      <c r="AD517">
        <f t="shared" si="209"/>
        <v>0</v>
      </c>
      <c r="AE517">
        <f t="shared" si="212"/>
        <v>0</v>
      </c>
    </row>
    <row r="518" spans="1:31" x14ac:dyDescent="0.2">
      <c r="A518" s="347">
        <v>71207.25</v>
      </c>
      <c r="B518" s="364">
        <f t="shared" si="206"/>
        <v>71.207250000000002</v>
      </c>
      <c r="C518" s="337">
        <f t="shared" si="187"/>
        <v>141.32298110878631</v>
      </c>
      <c r="D518" s="338">
        <f t="shared" si="188"/>
        <v>1.5637202777526158</v>
      </c>
      <c r="E518" s="338">
        <f t="shared" si="189"/>
        <v>1.0057484951816873</v>
      </c>
      <c r="F518" s="339">
        <f t="shared" si="190"/>
        <v>0.10696814411637086</v>
      </c>
      <c r="G518" s="338">
        <f t="shared" si="191"/>
        <v>1</v>
      </c>
      <c r="H518" s="339">
        <f t="shared" si="192"/>
        <v>0</v>
      </c>
      <c r="I518" s="337">
        <f t="shared" si="193"/>
        <v>13470.744126575622</v>
      </c>
      <c r="J518" s="340">
        <f t="shared" si="194"/>
        <v>1.570722091846068</v>
      </c>
      <c r="K518" s="348">
        <f t="shared" si="210"/>
        <v>12.740334210322496</v>
      </c>
      <c r="L518" s="349">
        <f t="shared" si="211"/>
        <v>1.4922246312974126</v>
      </c>
      <c r="M518" s="337">
        <f t="shared" si="195"/>
        <v>1.0146904117276681</v>
      </c>
      <c r="N518" s="340">
        <f t="shared" si="196"/>
        <v>0.17036899686438295</v>
      </c>
      <c r="O518" s="341">
        <f t="shared" si="197"/>
        <v>0.99874227365314372</v>
      </c>
      <c r="P518" s="342">
        <f t="shared" si="198"/>
        <v>8.7406852779654168E-2</v>
      </c>
      <c r="Q518" s="343">
        <f t="shared" si="199"/>
        <v>-1.523266538305819</v>
      </c>
      <c r="R518" s="344">
        <f t="shared" si="200"/>
        <v>-102.73279060835871</v>
      </c>
      <c r="S518" s="346">
        <f t="shared" si="201"/>
        <v>77.267209391641288</v>
      </c>
      <c r="U518" s="319">
        <f t="shared" si="207"/>
        <v>71207.25</v>
      </c>
      <c r="V518" s="319">
        <f t="shared" si="208"/>
        <v>5070472452.5625</v>
      </c>
      <c r="X518" s="345">
        <f t="shared" si="202"/>
        <v>37.096337946942867</v>
      </c>
      <c r="Y518" s="346">
        <f t="shared" si="203"/>
        <v>-14.258997688432617</v>
      </c>
      <c r="AA518" s="345">
        <f t="shared" si="204"/>
        <v>18.178442527668068</v>
      </c>
      <c r="AB518" s="346">
        <f t="shared" si="205"/>
        <v>-88.473792919926083</v>
      </c>
      <c r="AD518">
        <f t="shared" si="209"/>
        <v>0</v>
      </c>
      <c r="AE518">
        <f t="shared" si="212"/>
        <v>0</v>
      </c>
    </row>
    <row r="519" spans="1:31" x14ac:dyDescent="0.2">
      <c r="A519" s="347">
        <v>71619.5</v>
      </c>
      <c r="B519" s="364">
        <f t="shared" si="206"/>
        <v>71.619500000000002</v>
      </c>
      <c r="C519" s="337">
        <f t="shared" si="187"/>
        <v>142.1411209790989</v>
      </c>
      <c r="D519" s="338">
        <f t="shared" si="188"/>
        <v>1.5637610069490497</v>
      </c>
      <c r="E519" s="338">
        <f t="shared" si="189"/>
        <v>1.0058150560041512</v>
      </c>
      <c r="F519" s="339">
        <f t="shared" si="190"/>
        <v>0.10758267579806904</v>
      </c>
      <c r="G519" s="338">
        <f t="shared" si="191"/>
        <v>1</v>
      </c>
      <c r="H519" s="339">
        <f t="shared" si="192"/>
        <v>0</v>
      </c>
      <c r="I519" s="337">
        <f t="shared" si="193"/>
        <v>13548.73217183317</v>
      </c>
      <c r="J519" s="340">
        <f t="shared" si="194"/>
        <v>1.570722519150888</v>
      </c>
      <c r="K519" s="348">
        <f t="shared" si="210"/>
        <v>12.813640474384762</v>
      </c>
      <c r="L519" s="349">
        <f t="shared" si="211"/>
        <v>1.4926750557799464</v>
      </c>
      <c r="M519" s="337">
        <f t="shared" si="195"/>
        <v>1.0148597535729136</v>
      </c>
      <c r="N519" s="340">
        <f t="shared" si="196"/>
        <v>0.17133620084548978</v>
      </c>
      <c r="O519" s="341">
        <f t="shared" si="197"/>
        <v>0.9987278103364966</v>
      </c>
      <c r="P519" s="342">
        <f t="shared" si="198"/>
        <v>8.7915469775095956E-2</v>
      </c>
      <c r="Q519" s="343">
        <f t="shared" si="199"/>
        <v>-1.5744614735074465</v>
      </c>
      <c r="R519" s="344">
        <f t="shared" si="200"/>
        <v>-102.75868952190584</v>
      </c>
      <c r="S519" s="346">
        <f t="shared" si="201"/>
        <v>77.241310478094164</v>
      </c>
      <c r="U519" s="319">
        <f t="shared" si="207"/>
        <v>71619.5</v>
      </c>
      <c r="V519" s="319">
        <f t="shared" si="208"/>
        <v>5129352780.25</v>
      </c>
      <c r="X519" s="345">
        <f t="shared" si="202"/>
        <v>37.09458133207881</v>
      </c>
      <c r="Y519" s="346">
        <f t="shared" si="203"/>
        <v>-14.288631455436347</v>
      </c>
      <c r="AA519" s="345">
        <f t="shared" si="204"/>
        <v>18.129004207330503</v>
      </c>
      <c r="AB519" s="346">
        <f t="shared" si="205"/>
        <v>-88.470058066469477</v>
      </c>
      <c r="AD519">
        <f t="shared" si="209"/>
        <v>0</v>
      </c>
      <c r="AE519">
        <f t="shared" si="212"/>
        <v>0</v>
      </c>
    </row>
    <row r="520" spans="1:31" x14ac:dyDescent="0.2">
      <c r="A520" s="347">
        <v>72031.75</v>
      </c>
      <c r="B520" s="364">
        <f t="shared" si="206"/>
        <v>72.031750000000002</v>
      </c>
      <c r="C520" s="337">
        <f t="shared" si="187"/>
        <v>142.95926108250598</v>
      </c>
      <c r="D520" s="338">
        <f t="shared" si="188"/>
        <v>1.5638012699681403</v>
      </c>
      <c r="E520" s="338">
        <f t="shared" si="189"/>
        <v>1.0058819966215005</v>
      </c>
      <c r="F520" s="339">
        <f t="shared" si="190"/>
        <v>0.10819712591863488</v>
      </c>
      <c r="G520" s="338">
        <f t="shared" si="191"/>
        <v>1</v>
      </c>
      <c r="H520" s="339">
        <f t="shared" si="192"/>
        <v>0</v>
      </c>
      <c r="I520" s="337">
        <f t="shared" si="193"/>
        <v>13626.720217093161</v>
      </c>
      <c r="J520" s="340">
        <f t="shared" si="194"/>
        <v>1.5707229415646309</v>
      </c>
      <c r="K520" s="348">
        <f t="shared" si="210"/>
        <v>12.886949308530612</v>
      </c>
      <c r="L520" s="349">
        <f t="shared" si="211"/>
        <v>1.4931203557731578</v>
      </c>
      <c r="M520" s="337">
        <f t="shared" si="195"/>
        <v>1.0150300444854572</v>
      </c>
      <c r="N520" s="340">
        <f t="shared" si="196"/>
        <v>0.1723030811965133</v>
      </c>
      <c r="O520" s="341">
        <f t="shared" si="197"/>
        <v>0.99871326681725636</v>
      </c>
      <c r="P520" s="342">
        <f t="shared" si="198"/>
        <v>8.8424131425371241E-2</v>
      </c>
      <c r="Q520" s="343">
        <f t="shared" si="199"/>
        <v>-1.6253673598534093</v>
      </c>
      <c r="R520" s="344">
        <f t="shared" si="200"/>
        <v>-102.78484374583552</v>
      </c>
      <c r="S520" s="346">
        <f t="shared" si="201"/>
        <v>77.215156254164484</v>
      </c>
      <c r="U520" s="319">
        <f t="shared" si="207"/>
        <v>72031.75</v>
      </c>
      <c r="V520" s="319">
        <f t="shared" si="208"/>
        <v>5188573008.0625</v>
      </c>
      <c r="X520" s="345">
        <f t="shared" si="202"/>
        <v>37.092822074901747</v>
      </c>
      <c r="Y520" s="346">
        <f t="shared" si="203"/>
        <v>-14.318540011174763</v>
      </c>
      <c r="AA520" s="345">
        <f t="shared" si="204"/>
        <v>18.079857578161608</v>
      </c>
      <c r="AB520" s="346">
        <f t="shared" si="205"/>
        <v>-88.466303734660755</v>
      </c>
      <c r="AD520">
        <f t="shared" si="209"/>
        <v>0</v>
      </c>
      <c r="AE520">
        <f t="shared" si="212"/>
        <v>0</v>
      </c>
    </row>
    <row r="521" spans="1:31" x14ac:dyDescent="0.2">
      <c r="A521" s="347">
        <v>72444</v>
      </c>
      <c r="B521" s="364">
        <f t="shared" si="206"/>
        <v>72.444000000000003</v>
      </c>
      <c r="C521" s="337">
        <f t="shared" si="187"/>
        <v>143.77740141502832</v>
      </c>
      <c r="D521" s="338">
        <f t="shared" si="188"/>
        <v>1.5638410747678597</v>
      </c>
      <c r="E521" s="338">
        <f t="shared" si="189"/>
        <v>1.0059493169579152</v>
      </c>
      <c r="F521" s="339">
        <f t="shared" si="190"/>
        <v>0.10881149403042731</v>
      </c>
      <c r="G521" s="338">
        <f t="shared" si="191"/>
        <v>1</v>
      </c>
      <c r="H521" s="339">
        <f t="shared" si="192"/>
        <v>0</v>
      </c>
      <c r="I521" s="337">
        <f t="shared" si="193"/>
        <v>13704.70826235556</v>
      </c>
      <c r="J521" s="340">
        <f t="shared" si="194"/>
        <v>1.5707233591707968</v>
      </c>
      <c r="K521" s="348">
        <f t="shared" si="210"/>
        <v>12.960260669147532</v>
      </c>
      <c r="L521" s="349">
        <f t="shared" si="211"/>
        <v>1.493560618060906</v>
      </c>
      <c r="M521" s="337">
        <f t="shared" si="195"/>
        <v>1.0152012839877065</v>
      </c>
      <c r="N521" s="340">
        <f t="shared" si="196"/>
        <v>0.17326963627297759</v>
      </c>
      <c r="O521" s="341">
        <f t="shared" si="197"/>
        <v>0.99869864315238488</v>
      </c>
      <c r="P521" s="342">
        <f t="shared" si="198"/>
        <v>8.893283798654715E-2</v>
      </c>
      <c r="Q521" s="343">
        <f t="shared" si="199"/>
        <v>-1.6759875931356034</v>
      </c>
      <c r="R521" s="344">
        <f t="shared" si="200"/>
        <v>-102.81124871463926</v>
      </c>
      <c r="S521" s="346">
        <f t="shared" si="201"/>
        <v>77.188751285360738</v>
      </c>
      <c r="U521" s="319">
        <f t="shared" si="207"/>
        <v>72444</v>
      </c>
      <c r="V521" s="319">
        <f t="shared" si="208"/>
        <v>5248133136</v>
      </c>
      <c r="X521" s="345">
        <f t="shared" si="202"/>
        <v>37.091060065223523</v>
      </c>
      <c r="Y521" s="346">
        <f t="shared" si="203"/>
        <v>-14.348718293861644</v>
      </c>
      <c r="AA521" s="345">
        <f t="shared" si="204"/>
        <v>18.030999354557636</v>
      </c>
      <c r="AB521" s="346">
        <f t="shared" si="205"/>
        <v>-88.462530420777597</v>
      </c>
      <c r="AD521">
        <f t="shared" si="209"/>
        <v>0</v>
      </c>
      <c r="AE521">
        <f t="shared" si="212"/>
        <v>0</v>
      </c>
    </row>
    <row r="522" spans="1:31" x14ac:dyDescent="0.2">
      <c r="A522" s="347">
        <v>72865.75</v>
      </c>
      <c r="B522" s="364">
        <f t="shared" si="206"/>
        <v>72.865750000000006</v>
      </c>
      <c r="C522" s="337">
        <f t="shared" si="187"/>
        <v>144.61439542670183</v>
      </c>
      <c r="D522" s="338">
        <f t="shared" si="188"/>
        <v>1.5638813307696244</v>
      </c>
      <c r="E522" s="338">
        <f t="shared" si="189"/>
        <v>1.0060185815082057</v>
      </c>
      <c r="F522" s="339">
        <f t="shared" si="190"/>
        <v>0.10943993447470575</v>
      </c>
      <c r="G522" s="338">
        <f t="shared" si="191"/>
        <v>1</v>
      </c>
      <c r="H522" s="339">
        <f t="shared" si="192"/>
        <v>0</v>
      </c>
      <c r="I522" s="337">
        <f t="shared" si="193"/>
        <v>13784.493485134029</v>
      </c>
      <c r="J522" s="340">
        <f t="shared" si="194"/>
        <v>1.5707237815104467</v>
      </c>
      <c r="K522" s="348">
        <f t="shared" si="210"/>
        <v>13.035264006519954</v>
      </c>
      <c r="L522" s="349">
        <f t="shared" si="211"/>
        <v>1.4940059011501345</v>
      </c>
      <c r="M522" s="337">
        <f t="shared" si="195"/>
        <v>1.0153774507095856</v>
      </c>
      <c r="N522" s="340">
        <f t="shared" si="196"/>
        <v>0.17425812658925705</v>
      </c>
      <c r="O522" s="341">
        <f t="shared" si="197"/>
        <v>0.99868359961833086</v>
      </c>
      <c r="P522" s="342">
        <f t="shared" si="198"/>
        <v>8.9453314060927019E-2</v>
      </c>
      <c r="Q522" s="343">
        <f t="shared" si="199"/>
        <v>-1.7274822087410517</v>
      </c>
      <c r="R522" s="344">
        <f t="shared" si="200"/>
        <v>-102.83851699072908</v>
      </c>
      <c r="S522" s="346">
        <f t="shared" si="201"/>
        <v>77.161483009270924</v>
      </c>
      <c r="U522" s="319">
        <f t="shared" si="207"/>
        <v>72865.75</v>
      </c>
      <c r="V522" s="319">
        <f t="shared" si="208"/>
        <v>5309417523.0625</v>
      </c>
      <c r="X522" s="345">
        <f t="shared" si="202"/>
        <v>37.08925449155921</v>
      </c>
      <c r="Y522" s="346">
        <f t="shared" si="203"/>
        <v>-14.379865973687727</v>
      </c>
      <c r="AA522" s="345">
        <f t="shared" si="204"/>
        <v>17.981310312616497</v>
      </c>
      <c r="AB522" s="346">
        <f t="shared" si="205"/>
        <v>-88.458651017041376</v>
      </c>
      <c r="AD522">
        <f t="shared" si="209"/>
        <v>0</v>
      </c>
      <c r="AE522">
        <f t="shared" si="212"/>
        <v>0</v>
      </c>
    </row>
    <row r="523" spans="1:31" x14ac:dyDescent="0.2">
      <c r="A523" s="347">
        <v>73287.5</v>
      </c>
      <c r="B523" s="364">
        <f t="shared" si="206"/>
        <v>73.287499999999994</v>
      </c>
      <c r="C523" s="337">
        <f t="shared" si="187"/>
        <v>145.4513896700324</v>
      </c>
      <c r="D523" s="338">
        <f t="shared" si="188"/>
        <v>1.563921123468327</v>
      </c>
      <c r="E523" s="338">
        <f t="shared" si="189"/>
        <v>1.0060882433180529</v>
      </c>
      <c r="F523" s="339">
        <f t="shared" si="190"/>
        <v>0.11006828814035861</v>
      </c>
      <c r="G523" s="338">
        <f t="shared" si="191"/>
        <v>1</v>
      </c>
      <c r="H523" s="339">
        <f t="shared" si="192"/>
        <v>0</v>
      </c>
      <c r="I523" s="337">
        <f t="shared" si="193"/>
        <v>13864.278707914928</v>
      </c>
      <c r="J523" s="340">
        <f t="shared" si="194"/>
        <v>1.5707241989891929</v>
      </c>
      <c r="K523" s="348">
        <f t="shared" si="210"/>
        <v>13.110269898912787</v>
      </c>
      <c r="L523" s="349">
        <f t="shared" si="211"/>
        <v>1.4944460892582452</v>
      </c>
      <c r="M523" s="337">
        <f t="shared" si="195"/>
        <v>1.0155546092253041</v>
      </c>
      <c r="N523" s="340">
        <f t="shared" si="196"/>
        <v>0.17524627299622189</v>
      </c>
      <c r="O523" s="341">
        <f t="shared" si="197"/>
        <v>0.9986684723239595</v>
      </c>
      <c r="P523" s="342">
        <f t="shared" si="198"/>
        <v>8.9973837682063351E-2</v>
      </c>
      <c r="Q523" s="343">
        <f t="shared" si="199"/>
        <v>-1.7786848560493738</v>
      </c>
      <c r="R523" s="344">
        <f t="shared" si="200"/>
        <v>-102.86603835563987</v>
      </c>
      <c r="S523" s="346">
        <f t="shared" si="201"/>
        <v>77.133961644360127</v>
      </c>
      <c r="U523" s="319">
        <f t="shared" si="207"/>
        <v>73287.5</v>
      </c>
      <c r="V523" s="319">
        <f t="shared" si="208"/>
        <v>5371057656.25</v>
      </c>
      <c r="X523" s="345">
        <f t="shared" si="202"/>
        <v>37.087445814392694</v>
      </c>
      <c r="Y523" s="346">
        <f t="shared" si="203"/>
        <v>-14.411285591367335</v>
      </c>
      <c r="AA523" s="345">
        <f t="shared" si="204"/>
        <v>17.931916342474693</v>
      </c>
      <c r="AB523" s="346">
        <f t="shared" si="205"/>
        <v>-88.454752764272513</v>
      </c>
      <c r="AD523">
        <f t="shared" si="209"/>
        <v>0</v>
      </c>
      <c r="AE523">
        <f t="shared" si="212"/>
        <v>0</v>
      </c>
    </row>
    <row r="524" spans="1:31" x14ac:dyDescent="0.2">
      <c r="A524" s="347">
        <v>73709.25</v>
      </c>
      <c r="B524" s="364">
        <f t="shared" si="206"/>
        <v>73.709249999999997</v>
      </c>
      <c r="C524" s="337">
        <f t="shared" si="187"/>
        <v>146.28838414104376</v>
      </c>
      <c r="D524" s="338">
        <f t="shared" si="188"/>
        <v>1.5639604608162583</v>
      </c>
      <c r="E524" s="338">
        <f t="shared" si="189"/>
        <v>1.0061583023049439</v>
      </c>
      <c r="F524" s="339">
        <f t="shared" si="190"/>
        <v>0.11069655454927846</v>
      </c>
      <c r="G524" s="338">
        <f t="shared" si="191"/>
        <v>1</v>
      </c>
      <c r="H524" s="339">
        <f t="shared" si="192"/>
        <v>0</v>
      </c>
      <c r="I524" s="337">
        <f t="shared" si="193"/>
        <v>13944.063930698218</v>
      </c>
      <c r="J524" s="340">
        <f t="shared" si="194"/>
        <v>1.5707246116904745</v>
      </c>
      <c r="K524" s="348">
        <f t="shared" si="210"/>
        <v>13.185278302722502</v>
      </c>
      <c r="L524" s="349">
        <f t="shared" si="211"/>
        <v>1.4948812691661564</v>
      </c>
      <c r="M524" s="337">
        <f t="shared" si="195"/>
        <v>1.0157327590159118</v>
      </c>
      <c r="N524" s="340">
        <f t="shared" si="196"/>
        <v>0.17623407374460934</v>
      </c>
      <c r="O524" s="341">
        <f t="shared" si="197"/>
        <v>0.99865326133133803</v>
      </c>
      <c r="P524" s="342">
        <f t="shared" si="198"/>
        <v>9.0494409124078745E-2</v>
      </c>
      <c r="Q524" s="343">
        <f t="shared" si="199"/>
        <v>-1.829598983090472</v>
      </c>
      <c r="R524" s="344">
        <f t="shared" si="200"/>
        <v>-102.89380824047875</v>
      </c>
      <c r="S524" s="346">
        <f t="shared" si="201"/>
        <v>77.106191759521252</v>
      </c>
      <c r="U524" s="319">
        <f t="shared" si="207"/>
        <v>73709.25</v>
      </c>
      <c r="V524" s="319">
        <f t="shared" si="208"/>
        <v>5433053535.5625</v>
      </c>
      <c r="X524" s="345">
        <f t="shared" si="202"/>
        <v>37.085633926277744</v>
      </c>
      <c r="Y524" s="346">
        <f t="shared" si="203"/>
        <v>-14.442972079275437</v>
      </c>
      <c r="AA524" s="345">
        <f t="shared" si="204"/>
        <v>17.882814103548547</v>
      </c>
      <c r="AB524" s="346">
        <f t="shared" si="205"/>
        <v>-88.450836161203299</v>
      </c>
      <c r="AD524">
        <f t="shared" si="209"/>
        <v>0</v>
      </c>
      <c r="AE524">
        <f t="shared" si="212"/>
        <v>0</v>
      </c>
    </row>
    <row r="525" spans="1:31" x14ac:dyDescent="0.2">
      <c r="A525" s="347">
        <v>74131</v>
      </c>
      <c r="B525" s="364">
        <f t="shared" si="206"/>
        <v>74.131</v>
      </c>
      <c r="C525" s="337">
        <f t="shared" ref="C525:C588" si="213">SQRT(1+(A525/pole1)^2)</f>
        <v>147.12537883585003</v>
      </c>
      <c r="D525" s="338">
        <f t="shared" ref="D525:D588" si="214">ATAN(A525/pole1)</f>
        <v>1.563999350584752</v>
      </c>
      <c r="E525" s="338">
        <f t="shared" ref="E525:E588" si="215">SQRT(1+(A525/Zero1)^2)</f>
        <v>1.0062287583859175</v>
      </c>
      <c r="F525" s="339">
        <f t="shared" ref="F525:F588" si="216">ATAN(A525/Zero1)</f>
        <v>0.1113247332237662</v>
      </c>
      <c r="G525" s="338">
        <f t="shared" ref="G525:G588" si="217">IF(VIN_nom&gt;Vout, 1, SQRT(1+(A525/z_RHP)^2))</f>
        <v>1</v>
      </c>
      <c r="H525" s="339">
        <f t="shared" ref="H525:H588" si="218">IF(VIN_nom&gt;Vout, 0, -ATAN(A525/z_RHP))</f>
        <v>0</v>
      </c>
      <c r="I525" s="337">
        <f t="shared" ref="I525:I588" si="219">SQRT(1+(A525/Pole2)^2)</f>
        <v>14023.849153483852</v>
      </c>
      <c r="J525" s="340">
        <f t="shared" ref="J525:J588" si="220">ATAN(A525/Pole2)</f>
        <v>1.5707250196958324</v>
      </c>
      <c r="K525" s="348">
        <f t="shared" si="210"/>
        <v>13.260289175330708</v>
      </c>
      <c r="L525" s="349">
        <f t="shared" si="211"/>
        <v>1.4953115256988618</v>
      </c>
      <c r="M525" s="337">
        <f t="shared" ref="M525:M588" si="221">SQRT(1+(A525/pole4)^2)</f>
        <v>1.0159118995599206</v>
      </c>
      <c r="N525" s="340">
        <f t="shared" ref="N525:N588" si="222">ATAN(A525/pole4)</f>
        <v>0.17722152708907846</v>
      </c>
      <c r="O525" s="341">
        <f t="shared" ref="O525:O588" si="223">SQRT((1-(V525/pterm2))^2+(A525/pterm1)^2)</f>
        <v>0.99863796670289628</v>
      </c>
      <c r="P525" s="342">
        <f t="shared" ref="P525:P588" si="224">IF((ATAN((A525/pterm1)/(1-A525^2/pterm2))&gt;0),ATAN((A525/pterm1)/(1-A525^2/pterm2)),PI()+ATAN((A525/pterm1)/(1-A525^2/pterm2)))</f>
        <v>9.1015028661076039E-2</v>
      </c>
      <c r="Q525" s="343">
        <f t="shared" ref="Q525:Q588" si="225">20*LOG10(((E525*K525*G525)/(C525*I525*O525*M525))*Adc)</f>
        <v>-1.8802279774504922</v>
      </c>
      <c r="R525" s="344">
        <f t="shared" ref="R525:R588" si="226">((F525+L525+H525)-(D525+J525+P525+N525))*radconv</f>
        <v>-102.92182217814265</v>
      </c>
      <c r="S525" s="346">
        <f t="shared" ref="S525:S588" si="227">IF(R525&gt;0,R525,R525+180)</f>
        <v>77.078177821857352</v>
      </c>
      <c r="U525" s="319">
        <f t="shared" si="207"/>
        <v>74131</v>
      </c>
      <c r="V525" s="319">
        <f t="shared" si="208"/>
        <v>5495405161</v>
      </c>
      <c r="X525" s="345">
        <f t="shared" ref="X525:X588" si="228">20*LOG10((K525/(I525*M525))*AEA)</f>
        <v>37.083818723086523</v>
      </c>
      <c r="Y525" s="346">
        <f t="shared" ref="Y525:Y588" si="229">(L525-(J525+N525))*radconv</f>
        <v>-14.474920481969178</v>
      </c>
      <c r="AA525" s="345">
        <f t="shared" ref="AA525:AA588" si="230">20*LOG10((E525*G525/(C525*O525))*Acs*Am)</f>
        <v>17.834000312379739</v>
      </c>
      <c r="AB525" s="346">
        <f t="shared" ref="AB525:AB588" si="231">(F525+H525-(D525+P525))*radconv</f>
        <v>-88.44690169617347</v>
      </c>
      <c r="AD525">
        <f t="shared" si="209"/>
        <v>0</v>
      </c>
      <c r="AE525">
        <f t="shared" si="212"/>
        <v>0</v>
      </c>
    </row>
    <row r="526" spans="1:31" x14ac:dyDescent="0.2">
      <c r="A526" s="347">
        <v>74562.75</v>
      </c>
      <c r="B526" s="364">
        <f t="shared" ref="B526:B589" si="232">A526/1000</f>
        <v>74.562749999999994</v>
      </c>
      <c r="C526" s="337">
        <f t="shared" si="213"/>
        <v>147.9822195129799</v>
      </c>
      <c r="D526" s="338">
        <f t="shared" si="214"/>
        <v>1.5640387067630008</v>
      </c>
      <c r="E526" s="338">
        <f t="shared" si="215"/>
        <v>1.0063012962736486</v>
      </c>
      <c r="F526" s="339">
        <f t="shared" si="216"/>
        <v>0.11196771509486579</v>
      </c>
      <c r="G526" s="338">
        <f t="shared" si="217"/>
        <v>1</v>
      </c>
      <c r="H526" s="339">
        <f t="shared" si="218"/>
        <v>0</v>
      </c>
      <c r="I526" s="337">
        <f t="shared" si="219"/>
        <v>14105.526142075927</v>
      </c>
      <c r="J526" s="340">
        <f t="shared" si="220"/>
        <v>1.570725432594229</v>
      </c>
      <c r="K526" s="348">
        <f t="shared" si="210"/>
        <v>13.337081124227677</v>
      </c>
      <c r="L526" s="349">
        <f t="shared" si="211"/>
        <v>1.4957469706270046</v>
      </c>
      <c r="M526" s="337">
        <f t="shared" si="221"/>
        <v>1.0160963133788592</v>
      </c>
      <c r="N526" s="340">
        <f t="shared" si="222"/>
        <v>0.17823203199686791</v>
      </c>
      <c r="O526" s="341">
        <f t="shared" si="223"/>
        <v>0.9986222228592937</v>
      </c>
      <c r="P526" s="342">
        <f t="shared" si="224"/>
        <v>9.154804257208532E-2</v>
      </c>
      <c r="Q526" s="343">
        <f t="shared" si="225"/>
        <v>-1.9317655430534728</v>
      </c>
      <c r="R526" s="344">
        <f t="shared" si="226"/>
        <v>-102.95074858822841</v>
      </c>
      <c r="S526" s="346">
        <f t="shared" si="227"/>
        <v>77.049251411771593</v>
      </c>
      <c r="U526" s="319">
        <f t="shared" ref="U526:U589" si="233">IF(Q526&lt;0,A526,1000000000)</f>
        <v>74562.75</v>
      </c>
      <c r="V526" s="319">
        <f t="shared" ref="V526:V589" si="234">A526^2</f>
        <v>5559603687.5625</v>
      </c>
      <c r="X526" s="345">
        <f t="shared" si="228"/>
        <v>37.081956940847334</v>
      </c>
      <c r="Y526" s="346">
        <f t="shared" si="229"/>
        <v>-14.507892649142986</v>
      </c>
      <c r="AA526" s="345">
        <f t="shared" si="230"/>
        <v>17.784324529015954</v>
      </c>
      <c r="AB526" s="346">
        <f t="shared" si="231"/>
        <v>-88.442855939085433</v>
      </c>
      <c r="AD526">
        <f t="shared" ref="AD526:AD589" si="235">SUM((Q527&lt;0)*(Q526&gt;0))*A526</f>
        <v>0</v>
      </c>
      <c r="AE526">
        <f t="shared" si="212"/>
        <v>0</v>
      </c>
    </row>
    <row r="527" spans="1:31" x14ac:dyDescent="0.2">
      <c r="A527" s="347">
        <v>74994.5</v>
      </c>
      <c r="B527" s="364">
        <f t="shared" si="232"/>
        <v>74.994500000000002</v>
      </c>
      <c r="C527" s="337">
        <f t="shared" si="213"/>
        <v>148.83906041668166</v>
      </c>
      <c r="D527" s="338">
        <f t="shared" si="214"/>
        <v>1.564077609807794</v>
      </c>
      <c r="E527" s="338">
        <f t="shared" si="215"/>
        <v>1.0063742501321102</v>
      </c>
      <c r="F527" s="339">
        <f t="shared" si="216"/>
        <v>0.11261060400992237</v>
      </c>
      <c r="G527" s="338">
        <f t="shared" si="217"/>
        <v>1</v>
      </c>
      <c r="H527" s="339">
        <f t="shared" si="218"/>
        <v>0</v>
      </c>
      <c r="I527" s="337">
        <f t="shared" si="219"/>
        <v>14187.203130670378</v>
      </c>
      <c r="J527" s="340">
        <f t="shared" si="220"/>
        <v>1.5707258407384401</v>
      </c>
      <c r="K527" s="348">
        <f t="shared" si="210"/>
        <v>13.413875573044125</v>
      </c>
      <c r="L527" s="349">
        <f t="shared" si="211"/>
        <v>1.4961774297908388</v>
      </c>
      <c r="M527" s="337">
        <f t="shared" si="221"/>
        <v>1.0162817643770703</v>
      </c>
      <c r="N527" s="340">
        <f t="shared" si="222"/>
        <v>0.17924216914213995</v>
      </c>
      <c r="O527" s="341">
        <f t="shared" si="223"/>
        <v>0.99860639150028629</v>
      </c>
      <c r="P527" s="342">
        <f t="shared" si="224"/>
        <v>9.2081107467106502E-2</v>
      </c>
      <c r="Q527" s="343">
        <f t="shared" si="225"/>
        <v>-1.9830112906762838</v>
      </c>
      <c r="R527" s="344">
        <f t="shared" si="226"/>
        <v>-102.97992160245518</v>
      </c>
      <c r="S527" s="346">
        <f t="shared" si="227"/>
        <v>77.020078397544822</v>
      </c>
      <c r="U527" s="319">
        <f t="shared" si="233"/>
        <v>74994.5</v>
      </c>
      <c r="V527" s="319">
        <f t="shared" si="234"/>
        <v>5624175030.25</v>
      </c>
      <c r="X527" s="345">
        <f t="shared" si="228"/>
        <v>37.08009147380907</v>
      </c>
      <c r="Y527" s="346">
        <f t="shared" si="229"/>
        <v>-14.541129135934741</v>
      </c>
      <c r="AA527" s="345">
        <f t="shared" si="230"/>
        <v>17.734944248431407</v>
      </c>
      <c r="AB527" s="346">
        <f t="shared" si="231"/>
        <v>-88.438792466520439</v>
      </c>
      <c r="AD527">
        <f t="shared" si="235"/>
        <v>0</v>
      </c>
      <c r="AE527">
        <f t="shared" si="212"/>
        <v>0</v>
      </c>
    </row>
    <row r="528" spans="1:31" x14ac:dyDescent="0.2">
      <c r="A528" s="347">
        <v>75426.25</v>
      </c>
      <c r="B528" s="364">
        <f t="shared" si="232"/>
        <v>75.426249999999996</v>
      </c>
      <c r="C528" s="337">
        <f t="shared" si="213"/>
        <v>149.69590154306471</v>
      </c>
      <c r="D528" s="338">
        <f t="shared" si="214"/>
        <v>1.5641160675000549</v>
      </c>
      <c r="E528" s="338">
        <f t="shared" si="215"/>
        <v>1.0064476198708452</v>
      </c>
      <c r="F528" s="339">
        <f t="shared" si="216"/>
        <v>0.11325339945778826</v>
      </c>
      <c r="G528" s="338">
        <f t="shared" si="217"/>
        <v>1</v>
      </c>
      <c r="H528" s="339">
        <f t="shared" si="218"/>
        <v>0</v>
      </c>
      <c r="I528" s="337">
        <f t="shared" si="219"/>
        <v>14268.880119267162</v>
      </c>
      <c r="J528" s="340">
        <f t="shared" si="220"/>
        <v>1.5707262442101064</v>
      </c>
      <c r="K528" s="348">
        <f t="shared" si="210"/>
        <v>13.490672479088351</v>
      </c>
      <c r="L528" s="349">
        <f t="shared" si="211"/>
        <v>1.4966029881752416</v>
      </c>
      <c r="M528" s="337">
        <f t="shared" si="221"/>
        <v>1.0164682519868646</v>
      </c>
      <c r="N528" s="340">
        <f t="shared" si="222"/>
        <v>0.18025193666531045</v>
      </c>
      <c r="O528" s="341">
        <f t="shared" si="223"/>
        <v>0.99859047269403389</v>
      </c>
      <c r="P528" s="342">
        <f t="shared" si="224"/>
        <v>9.2614223640139978E-2</v>
      </c>
      <c r="Q528" s="343">
        <f t="shared" si="225"/>
        <v>-2.0339686668569517</v>
      </c>
      <c r="R528" s="344">
        <f t="shared" si="226"/>
        <v>-103.00933674162522</v>
      </c>
      <c r="S528" s="346">
        <f t="shared" si="227"/>
        <v>76.990663258374781</v>
      </c>
      <c r="U528" s="319">
        <f t="shared" si="233"/>
        <v>75426.25</v>
      </c>
      <c r="V528" s="319">
        <f t="shared" si="234"/>
        <v>5689119189.0625</v>
      </c>
      <c r="X528" s="345">
        <f t="shared" si="228"/>
        <v>37.07822222035994</v>
      </c>
      <c r="Y528" s="346">
        <f t="shared" si="229"/>
        <v>-14.574624971201001</v>
      </c>
      <c r="AA528" s="345">
        <f t="shared" si="230"/>
        <v>17.685856125699868</v>
      </c>
      <c r="AB528" s="346">
        <f t="shared" si="231"/>
        <v>-88.434711770424201</v>
      </c>
      <c r="AD528">
        <f t="shared" si="235"/>
        <v>0</v>
      </c>
      <c r="AE528">
        <f t="shared" si="212"/>
        <v>0</v>
      </c>
    </row>
    <row r="529" spans="1:31" x14ac:dyDescent="0.2">
      <c r="A529" s="347">
        <v>75858</v>
      </c>
      <c r="B529" s="364">
        <f t="shared" si="232"/>
        <v>75.858000000000004</v>
      </c>
      <c r="C529" s="337">
        <f t="shared" si="213"/>
        <v>150.55274288832703</v>
      </c>
      <c r="D529" s="338">
        <f t="shared" si="214"/>
        <v>1.5641540874435782</v>
      </c>
      <c r="E529" s="338">
        <f t="shared" si="215"/>
        <v>1.0065214053989076</v>
      </c>
      <c r="F529" s="339">
        <f t="shared" si="216"/>
        <v>0.11389610092777334</v>
      </c>
      <c r="G529" s="338">
        <f t="shared" si="217"/>
        <v>1</v>
      </c>
      <c r="H529" s="339">
        <f t="shared" si="218"/>
        <v>0</v>
      </c>
      <c r="I529" s="337">
        <f t="shared" si="219"/>
        <v>14350.557107866245</v>
      </c>
      <c r="J529" s="340">
        <f t="shared" si="220"/>
        <v>1.5707266430890103</v>
      </c>
      <c r="K529" s="348">
        <f t="shared" si="210"/>
        <v>13.5674718006339</v>
      </c>
      <c r="L529" s="349">
        <f t="shared" si="211"/>
        <v>1.4970237288480397</v>
      </c>
      <c r="M529" s="337">
        <f t="shared" si="221"/>
        <v>1.0166557756377983</v>
      </c>
      <c r="N529" s="340">
        <f t="shared" si="222"/>
        <v>0.18126133271117104</v>
      </c>
      <c r="O529" s="341">
        <f t="shared" si="223"/>
        <v>0.99857446650909421</v>
      </c>
      <c r="P529" s="342">
        <f t="shared" si="224"/>
        <v>9.3147391385163703E-2</v>
      </c>
      <c r="Q529" s="343">
        <f t="shared" si="225"/>
        <v>-2.0846410577322052</v>
      </c>
      <c r="R529" s="344">
        <f t="shared" si="226"/>
        <v>-103.0389896263476</v>
      </c>
      <c r="S529" s="346">
        <f t="shared" si="227"/>
        <v>76.9610103736524</v>
      </c>
      <c r="U529" s="319">
        <f t="shared" si="233"/>
        <v>75858</v>
      </c>
      <c r="V529" s="319">
        <f t="shared" si="234"/>
        <v>5754436164</v>
      </c>
      <c r="X529" s="345">
        <f t="shared" si="228"/>
        <v>37.076349082070237</v>
      </c>
      <c r="Y529" s="346">
        <f t="shared" si="229"/>
        <v>-14.608375293781478</v>
      </c>
      <c r="AA529" s="345">
        <f t="shared" si="230"/>
        <v>17.637056873114318</v>
      </c>
      <c r="AB529" s="346">
        <f t="shared" si="231"/>
        <v>-88.430614332566108</v>
      </c>
      <c r="AD529">
        <f t="shared" si="235"/>
        <v>0</v>
      </c>
      <c r="AE529">
        <f t="shared" si="212"/>
        <v>0</v>
      </c>
    </row>
    <row r="530" spans="1:31" x14ac:dyDescent="0.2">
      <c r="A530" s="347">
        <v>76299.75</v>
      </c>
      <c r="B530" s="364">
        <f t="shared" si="232"/>
        <v>76.299750000000003</v>
      </c>
      <c r="C530" s="337">
        <f t="shared" si="213"/>
        <v>151.42943023147964</v>
      </c>
      <c r="D530" s="338">
        <f t="shared" si="214"/>
        <v>1.5641925426636627</v>
      </c>
      <c r="E530" s="338">
        <f t="shared" si="215"/>
        <v>1.006597330165276</v>
      </c>
      <c r="F530" s="339">
        <f t="shared" si="216"/>
        <v>0.11455359056089609</v>
      </c>
      <c r="G530" s="338">
        <f t="shared" si="217"/>
        <v>1</v>
      </c>
      <c r="H530" s="339">
        <f t="shared" si="218"/>
        <v>0</v>
      </c>
      <c r="I530" s="337">
        <f t="shared" si="219"/>
        <v>14434.125862271927</v>
      </c>
      <c r="J530" s="340">
        <f t="shared" si="220"/>
        <v>1.5707270465343293</v>
      </c>
      <c r="K530" s="348">
        <f t="shared" si="210"/>
        <v>13.646052371178136</v>
      </c>
      <c r="L530" s="349">
        <f t="shared" si="211"/>
        <v>1.4974493128306972</v>
      </c>
      <c r="M530" s="337">
        <f t="shared" si="221"/>
        <v>1.0168487143431506</v>
      </c>
      <c r="N530" s="340">
        <f t="shared" si="222"/>
        <v>0.18229372152254467</v>
      </c>
      <c r="O530" s="341">
        <f t="shared" si="223"/>
        <v>0.99855799923013411</v>
      </c>
      <c r="P530" s="342">
        <f t="shared" si="224"/>
        <v>9.3692961806694522E-2</v>
      </c>
      <c r="Q530" s="343">
        <f t="shared" si="225"/>
        <v>-2.1361956068773122</v>
      </c>
      <c r="R530" s="344">
        <f t="shared" si="226"/>
        <v>-103.0695709211106</v>
      </c>
      <c r="S530" s="346">
        <f t="shared" si="227"/>
        <v>76.930429078889404</v>
      </c>
      <c r="U530" s="319">
        <f t="shared" si="233"/>
        <v>76299.75</v>
      </c>
      <c r="V530" s="319">
        <f t="shared" si="234"/>
        <v>5821651850.0625</v>
      </c>
      <c r="X530" s="345">
        <f t="shared" si="228"/>
        <v>37.074428438704359</v>
      </c>
      <c r="Y530" s="346">
        <f t="shared" si="229"/>
        <v>-14.643165765208868</v>
      </c>
      <c r="AA530" s="345">
        <f t="shared" si="230"/>
        <v>17.587422967335094</v>
      </c>
      <c r="AB530" s="346">
        <f t="shared" si="231"/>
        <v>-88.426405155901733</v>
      </c>
      <c r="AD530">
        <f t="shared" si="235"/>
        <v>0</v>
      </c>
      <c r="AE530">
        <f t="shared" si="212"/>
        <v>0</v>
      </c>
    </row>
    <row r="531" spans="1:31" x14ac:dyDescent="0.2">
      <c r="A531" s="347">
        <v>76741.5</v>
      </c>
      <c r="B531" s="364">
        <f t="shared" si="232"/>
        <v>76.741500000000002</v>
      </c>
      <c r="C531" s="337">
        <f t="shared" si="213"/>
        <v>152.30611779598871</v>
      </c>
      <c r="D531" s="338">
        <f t="shared" si="214"/>
        <v>1.5642305551804665</v>
      </c>
      <c r="E531" s="338">
        <f t="shared" si="215"/>
        <v>1.0066736900104911</v>
      </c>
      <c r="F531" s="339">
        <f t="shared" si="216"/>
        <v>0.11521098073222819</v>
      </c>
      <c r="G531" s="338">
        <f t="shared" si="217"/>
        <v>1</v>
      </c>
      <c r="H531" s="339">
        <f t="shared" si="218"/>
        <v>0</v>
      </c>
      <c r="I531" s="337">
        <f t="shared" si="219"/>
        <v>14517.694616679932</v>
      </c>
      <c r="J531" s="340">
        <f t="shared" si="220"/>
        <v>1.5707274453349132</v>
      </c>
      <c r="K531" s="348">
        <f t="shared" si="210"/>
        <v>13.724635385016361</v>
      </c>
      <c r="L531" s="349">
        <f t="shared" si="211"/>
        <v>1.4978700233645332</v>
      </c>
      <c r="M531" s="337">
        <f t="shared" si="221"/>
        <v>1.0170427364210961</v>
      </c>
      <c r="N531" s="340">
        <f t="shared" si="222"/>
        <v>0.18332571753417581</v>
      </c>
      <c r="O531" s="341">
        <f t="shared" si="223"/>
        <v>0.99854144062444317</v>
      </c>
      <c r="P531" s="342">
        <f t="shared" si="224"/>
        <v>9.4238586839418631E-2</v>
      </c>
      <c r="Q531" s="343">
        <f t="shared" si="225"/>
        <v>-2.1874588005359827</v>
      </c>
      <c r="R531" s="344">
        <f t="shared" si="226"/>
        <v>-103.10039213473407</v>
      </c>
      <c r="S531" s="346">
        <f t="shared" si="227"/>
        <v>76.899607865265935</v>
      </c>
      <c r="U531" s="319">
        <f t="shared" si="233"/>
        <v>76741.5</v>
      </c>
      <c r="V531" s="319">
        <f t="shared" si="234"/>
        <v>5889257822.25</v>
      </c>
      <c r="X531" s="345">
        <f t="shared" si="228"/>
        <v>37.072503529734803</v>
      </c>
      <c r="Y531" s="346">
        <f t="shared" si="229"/>
        <v>-14.678212692794537</v>
      </c>
      <c r="AA531" s="345">
        <f t="shared" si="230"/>
        <v>17.538084682645977</v>
      </c>
      <c r="AB531" s="346">
        <f t="shared" si="231"/>
        <v>-88.422179441939505</v>
      </c>
      <c r="AD531">
        <f t="shared" si="235"/>
        <v>0</v>
      </c>
      <c r="AE531">
        <f t="shared" si="212"/>
        <v>0</v>
      </c>
    </row>
    <row r="532" spans="1:31" x14ac:dyDescent="0.2">
      <c r="A532" s="347">
        <v>77183.25</v>
      </c>
      <c r="B532" s="364">
        <f t="shared" si="232"/>
        <v>77.183250000000001</v>
      </c>
      <c r="C532" s="337">
        <f t="shared" si="213"/>
        <v>153.18280557805366</v>
      </c>
      <c r="D532" s="338">
        <f t="shared" si="214"/>
        <v>1.5642681325948475</v>
      </c>
      <c r="E532" s="338">
        <f t="shared" si="215"/>
        <v>1.0067504848355533</v>
      </c>
      <c r="F532" s="339">
        <f t="shared" si="216"/>
        <v>0.11586827089626855</v>
      </c>
      <c r="G532" s="338">
        <f t="shared" si="217"/>
        <v>1</v>
      </c>
      <c r="H532" s="339">
        <f t="shared" si="218"/>
        <v>0</v>
      </c>
      <c r="I532" s="337">
        <f t="shared" si="219"/>
        <v>14601.263371090219</v>
      </c>
      <c r="J532" s="340">
        <f t="shared" si="220"/>
        <v>1.5707278395705129</v>
      </c>
      <c r="K532" s="348">
        <f t="shared" si="210"/>
        <v>13.803220800418877</v>
      </c>
      <c r="L532" s="349">
        <f t="shared" si="211"/>
        <v>1.4982859435368618</v>
      </c>
      <c r="M532" s="337">
        <f t="shared" si="221"/>
        <v>1.017237841251726</v>
      </c>
      <c r="N532" s="340">
        <f t="shared" si="222"/>
        <v>0.18435731877327308</v>
      </c>
      <c r="O532" s="341">
        <f t="shared" si="223"/>
        <v>0.99852479076675216</v>
      </c>
      <c r="P532" s="342">
        <f t="shared" si="224"/>
        <v>9.4784266798143307E-2</v>
      </c>
      <c r="Q532" s="343">
        <f t="shared" si="225"/>
        <v>-2.2384340783247012</v>
      </c>
      <c r="R532" s="344">
        <f t="shared" si="226"/>
        <v>-103.13144888299135</v>
      </c>
      <c r="S532" s="346">
        <f t="shared" si="227"/>
        <v>76.86855111700865</v>
      </c>
      <c r="U532" s="319">
        <f t="shared" si="233"/>
        <v>77183.25</v>
      </c>
      <c r="V532" s="319">
        <f t="shared" si="234"/>
        <v>5957254080.5625</v>
      </c>
      <c r="X532" s="345">
        <f t="shared" si="228"/>
        <v>37.070574259400288</v>
      </c>
      <c r="Y532" s="346">
        <f t="shared" si="229"/>
        <v>-14.713511207522821</v>
      </c>
      <c r="AA532" s="345">
        <f t="shared" si="230"/>
        <v>17.489038675191768</v>
      </c>
      <c r="AB532" s="346">
        <f t="shared" si="231"/>
        <v>-88.417937675468522</v>
      </c>
      <c r="AD532">
        <f t="shared" si="235"/>
        <v>0</v>
      </c>
      <c r="AE532">
        <f t="shared" si="212"/>
        <v>0</v>
      </c>
    </row>
    <row r="533" spans="1:31" x14ac:dyDescent="0.2">
      <c r="A533" s="347">
        <v>77625</v>
      </c>
      <c r="B533" s="364">
        <f t="shared" si="232"/>
        <v>77.625</v>
      </c>
      <c r="C533" s="337">
        <f t="shared" si="213"/>
        <v>154.05949357396048</v>
      </c>
      <c r="D533" s="338">
        <f t="shared" si="214"/>
        <v>1.564305282334655</v>
      </c>
      <c r="E533" s="338">
        <f t="shared" si="215"/>
        <v>1.0068277145409299</v>
      </c>
      <c r="F533" s="339">
        <f t="shared" si="216"/>
        <v>0.11652546050802771</v>
      </c>
      <c r="G533" s="338">
        <f t="shared" si="217"/>
        <v>1</v>
      </c>
      <c r="H533" s="339">
        <f t="shared" si="218"/>
        <v>0</v>
      </c>
      <c r="I533" s="337">
        <f t="shared" si="219"/>
        <v>14684.832125502749</v>
      </c>
      <c r="J533" s="340">
        <f t="shared" si="220"/>
        <v>1.5707282293190641</v>
      </c>
      <c r="K533" s="348">
        <f t="shared" si="210"/>
        <v>13.881808576599665</v>
      </c>
      <c r="L533" s="349">
        <f t="shared" si="211"/>
        <v>1.4986971545602152</v>
      </c>
      <c r="M533" s="337">
        <f t="shared" si="221"/>
        <v>1.017434028212149</v>
      </c>
      <c r="N533" s="340">
        <f t="shared" si="222"/>
        <v>0.18538852327191505</v>
      </c>
      <c r="O533" s="341">
        <f t="shared" si="223"/>
        <v>0.99850804973222917</v>
      </c>
      <c r="P533" s="342">
        <f t="shared" si="224"/>
        <v>9.5330001997650404E-2</v>
      </c>
      <c r="Q533" s="343">
        <f t="shared" si="225"/>
        <v>-2.2891248196252452</v>
      </c>
      <c r="R533" s="344">
        <f t="shared" si="226"/>
        <v>-103.1627368793047</v>
      </c>
      <c r="S533" s="346">
        <f t="shared" si="227"/>
        <v>76.837263120695297</v>
      </c>
      <c r="U533" s="319">
        <f t="shared" si="233"/>
        <v>77625</v>
      </c>
      <c r="V533" s="319">
        <f t="shared" si="234"/>
        <v>6025640625</v>
      </c>
      <c r="X533" s="345">
        <f t="shared" si="228"/>
        <v>37.068640534984809</v>
      </c>
      <c r="Y533" s="346">
        <f t="shared" si="229"/>
        <v>-14.749056547970181</v>
      </c>
      <c r="AA533" s="345">
        <f t="shared" si="230"/>
        <v>17.440281658306706</v>
      </c>
      <c r="AB533" s="346">
        <f t="shared" si="231"/>
        <v>-88.413680331334476</v>
      </c>
      <c r="AD533">
        <f t="shared" si="235"/>
        <v>0</v>
      </c>
      <c r="AE533">
        <f t="shared" si="212"/>
        <v>0</v>
      </c>
    </row>
    <row r="534" spans="1:31" x14ac:dyDescent="0.2">
      <c r="A534" s="347">
        <v>78077</v>
      </c>
      <c r="B534" s="364">
        <f t="shared" si="232"/>
        <v>78.076999999999998</v>
      </c>
      <c r="C534" s="337">
        <f t="shared" si="213"/>
        <v>154.95652372733991</v>
      </c>
      <c r="D534" s="338">
        <f t="shared" si="214"/>
        <v>1.564342858962841</v>
      </c>
      <c r="E534" s="338">
        <f t="shared" si="215"/>
        <v>1.0069071862491319</v>
      </c>
      <c r="F534" s="339">
        <f t="shared" si="216"/>
        <v>0.11719779435457926</v>
      </c>
      <c r="G534" s="338">
        <f t="shared" si="217"/>
        <v>1</v>
      </c>
      <c r="H534" s="339">
        <f t="shared" si="218"/>
        <v>0</v>
      </c>
      <c r="I534" s="337">
        <f t="shared" si="219"/>
        <v>14770.339939867144</v>
      </c>
      <c r="J534" s="340">
        <f t="shared" si="220"/>
        <v>1.570728623546032</v>
      </c>
      <c r="K534" s="348">
        <f t="shared" si="210"/>
        <v>13.962222240248405</v>
      </c>
      <c r="L534" s="349">
        <f t="shared" si="211"/>
        <v>1.4991131154646709</v>
      </c>
      <c r="M534" s="337">
        <f t="shared" si="221"/>
        <v>1.0176358867633242</v>
      </c>
      <c r="N534" s="340">
        <f t="shared" si="222"/>
        <v>0.1864432422797534</v>
      </c>
      <c r="O534" s="341">
        <f t="shared" si="223"/>
        <v>0.9984908259567512</v>
      </c>
      <c r="P534" s="342">
        <f t="shared" si="224"/>
        <v>9.5888457489947593E-2</v>
      </c>
      <c r="Q534" s="343">
        <f t="shared" si="225"/>
        <v>-2.3407006937125909</v>
      </c>
      <c r="R534" s="344">
        <f t="shared" si="226"/>
        <v>-103.19498584346326</v>
      </c>
      <c r="S534" s="346">
        <f t="shared" si="227"/>
        <v>76.805014156536743</v>
      </c>
      <c r="U534" s="319">
        <f t="shared" si="233"/>
        <v>78077</v>
      </c>
      <c r="V534" s="319">
        <f t="shared" si="234"/>
        <v>6096017929</v>
      </c>
      <c r="X534" s="345">
        <f t="shared" si="228"/>
        <v>37.06665723810945</v>
      </c>
      <c r="Y534" s="346">
        <f t="shared" si="229"/>
        <v>-14.785677279007066</v>
      </c>
      <c r="AA534" s="345">
        <f t="shared" si="230"/>
        <v>17.390689081094713</v>
      </c>
      <c r="AB534" s="346">
        <f t="shared" si="231"/>
        <v>-88.409308564456211</v>
      </c>
      <c r="AD534">
        <f t="shared" si="235"/>
        <v>0</v>
      </c>
      <c r="AE534">
        <f t="shared" si="212"/>
        <v>0</v>
      </c>
    </row>
    <row r="535" spans="1:31" x14ac:dyDescent="0.2">
      <c r="A535" s="347">
        <v>78529</v>
      </c>
      <c r="B535" s="364">
        <f t="shared" si="232"/>
        <v>78.528999999999996</v>
      </c>
      <c r="C535" s="337">
        <f t="shared" si="213"/>
        <v>155.85355409699974</v>
      </c>
      <c r="D535" s="338">
        <f t="shared" si="214"/>
        <v>1.5643800030391632</v>
      </c>
      <c r="E535" s="338">
        <f t="shared" si="215"/>
        <v>1.006987113040448</v>
      </c>
      <c r="F535" s="339">
        <f t="shared" si="216"/>
        <v>0.11787002177571473</v>
      </c>
      <c r="G535" s="338">
        <f t="shared" si="217"/>
        <v>1</v>
      </c>
      <c r="H535" s="339">
        <f t="shared" si="218"/>
        <v>0</v>
      </c>
      <c r="I535" s="337">
        <f t="shared" si="219"/>
        <v>14855.847754233813</v>
      </c>
      <c r="J535" s="340">
        <f t="shared" si="220"/>
        <v>1.5707290132347889</v>
      </c>
      <c r="K535" s="348">
        <f t="shared" ref="K535:K598" si="236">SQRT(1+(A535/Zero2)^2)</f>
        <v>14.042638292021547</v>
      </c>
      <c r="L535" s="349">
        <f t="shared" ref="L535:L598" si="237">ATAN(A535/Zero2)</f>
        <v>1.4995243123870108</v>
      </c>
      <c r="M535" s="337">
        <f t="shared" si="221"/>
        <v>1.0178388769156601</v>
      </c>
      <c r="N535" s="340">
        <f t="shared" si="222"/>
        <v>0.18749754176954148</v>
      </c>
      <c r="O535" s="341">
        <f t="shared" si="223"/>
        <v>0.9984735068847933</v>
      </c>
      <c r="P535" s="342">
        <f t="shared" si="224"/>
        <v>9.6446971482973223E-2</v>
      </c>
      <c r="Q535" s="343">
        <f t="shared" si="225"/>
        <v>-2.3919856448412564</v>
      </c>
      <c r="R535" s="344">
        <f t="shared" si="226"/>
        <v>-103.22746813323282</v>
      </c>
      <c r="S535" s="346">
        <f t="shared" si="227"/>
        <v>76.772531866767181</v>
      </c>
      <c r="U535" s="319">
        <f t="shared" si="233"/>
        <v>78529</v>
      </c>
      <c r="V535" s="319">
        <f t="shared" si="234"/>
        <v>6166803841</v>
      </c>
      <c r="X535" s="345">
        <f t="shared" si="228"/>
        <v>37.064669090999999</v>
      </c>
      <c r="Y535" s="346">
        <f t="shared" si="229"/>
        <v>-14.822546669479099</v>
      </c>
      <c r="AA535" s="345">
        <f t="shared" si="230"/>
        <v>17.34139227707551</v>
      </c>
      <c r="AB535" s="346">
        <f t="shared" si="231"/>
        <v>-88.404921463753709</v>
      </c>
      <c r="AD535">
        <f t="shared" si="235"/>
        <v>0</v>
      </c>
      <c r="AE535">
        <f t="shared" si="212"/>
        <v>0</v>
      </c>
    </row>
    <row r="536" spans="1:31" x14ac:dyDescent="0.2">
      <c r="A536" s="347">
        <v>78981</v>
      </c>
      <c r="B536" s="364">
        <f t="shared" si="232"/>
        <v>78.980999999999995</v>
      </c>
      <c r="C536" s="337">
        <f t="shared" si="213"/>
        <v>156.75058467922693</v>
      </c>
      <c r="D536" s="338">
        <f t="shared" si="214"/>
        <v>1.5644167219895631</v>
      </c>
      <c r="E536" s="338">
        <f t="shared" si="215"/>
        <v>1.0070674948065239</v>
      </c>
      <c r="F536" s="339">
        <f t="shared" si="216"/>
        <v>0.11854214218930118</v>
      </c>
      <c r="G536" s="338">
        <f t="shared" si="217"/>
        <v>1</v>
      </c>
      <c r="H536" s="339">
        <f t="shared" si="218"/>
        <v>0</v>
      </c>
      <c r="I536" s="337">
        <f t="shared" si="219"/>
        <v>14941.355568602708</v>
      </c>
      <c r="J536" s="340">
        <f t="shared" si="220"/>
        <v>1.57072939846325</v>
      </c>
      <c r="K536" s="348">
        <f t="shared" si="236"/>
        <v>14.123056691125475</v>
      </c>
      <c r="L536" s="349">
        <f t="shared" si="237"/>
        <v>1.4999308265670579</v>
      </c>
      <c r="M536" s="337">
        <f t="shared" si="221"/>
        <v>1.0180429979922583</v>
      </c>
      <c r="N536" s="340">
        <f t="shared" si="222"/>
        <v>0.18855141964912181</v>
      </c>
      <c r="O536" s="341">
        <f t="shared" si="223"/>
        <v>0.99845609259830126</v>
      </c>
      <c r="P536" s="342">
        <f t="shared" si="224"/>
        <v>9.7005544313849251E-2</v>
      </c>
      <c r="Q536" s="343">
        <f t="shared" si="225"/>
        <v>-2.442983106314168</v>
      </c>
      <c r="R536" s="344">
        <f t="shared" si="226"/>
        <v>-103.26017945665123</v>
      </c>
      <c r="S536" s="346">
        <f t="shared" si="227"/>
        <v>76.73982054334877</v>
      </c>
      <c r="U536" s="319">
        <f t="shared" si="233"/>
        <v>78981</v>
      </c>
      <c r="V536" s="319">
        <f t="shared" si="234"/>
        <v>6237998361</v>
      </c>
      <c r="X536" s="345">
        <f t="shared" si="228"/>
        <v>37.062676003589353</v>
      </c>
      <c r="Y536" s="346">
        <f t="shared" si="229"/>
        <v>-14.859659949279706</v>
      </c>
      <c r="AA536" s="345">
        <f t="shared" si="230"/>
        <v>17.292387903013243</v>
      </c>
      <c r="AB536" s="346">
        <f t="shared" si="231"/>
        <v>-88.400519507371527</v>
      </c>
      <c r="AD536">
        <f t="shared" si="235"/>
        <v>0</v>
      </c>
      <c r="AE536">
        <f t="shared" si="212"/>
        <v>0</v>
      </c>
    </row>
    <row r="537" spans="1:31" x14ac:dyDescent="0.2">
      <c r="A537" s="347">
        <v>79433</v>
      </c>
      <c r="B537" s="364">
        <f t="shared" si="232"/>
        <v>79.433000000000007</v>
      </c>
      <c r="C537" s="337">
        <f t="shared" si="213"/>
        <v>157.64761547039285</v>
      </c>
      <c r="D537" s="338">
        <f t="shared" si="214"/>
        <v>1.5644530230709679</v>
      </c>
      <c r="E537" s="338">
        <f t="shared" si="215"/>
        <v>1.0071483314384233</v>
      </c>
      <c r="F537" s="339">
        <f t="shared" si="216"/>
        <v>0.11921415501377758</v>
      </c>
      <c r="G537" s="338">
        <f t="shared" si="217"/>
        <v>1</v>
      </c>
      <c r="H537" s="339">
        <f t="shared" si="218"/>
        <v>0</v>
      </c>
      <c r="I537" s="337">
        <f t="shared" si="219"/>
        <v>15026.863382973796</v>
      </c>
      <c r="J537" s="340">
        <f t="shared" si="220"/>
        <v>1.5707297793075565</v>
      </c>
      <c r="K537" s="348">
        <f t="shared" si="236"/>
        <v>14.203477397689268</v>
      </c>
      <c r="L537" s="349">
        <f t="shared" si="237"/>
        <v>1.5003327374109734</v>
      </c>
      <c r="M537" s="337">
        <f t="shared" si="221"/>
        <v>1.0182482493129936</v>
      </c>
      <c r="N537" s="340">
        <f t="shared" si="222"/>
        <v>0.18960487383175595</v>
      </c>
      <c r="O537" s="341">
        <f t="shared" si="223"/>
        <v>0.9984385831797018</v>
      </c>
      <c r="P537" s="342">
        <f t="shared" si="224"/>
        <v>9.7564176319668836E-2</v>
      </c>
      <c r="Q537" s="343">
        <f t="shared" si="225"/>
        <v>-2.4936964513495732</v>
      </c>
      <c r="R537" s="344">
        <f t="shared" si="226"/>
        <v>-103.2931156173082</v>
      </c>
      <c r="S537" s="346">
        <f t="shared" si="227"/>
        <v>76.706884382691797</v>
      </c>
      <c r="U537" s="319">
        <f t="shared" si="233"/>
        <v>79433</v>
      </c>
      <c r="V537" s="319">
        <f t="shared" si="234"/>
        <v>6309601489</v>
      </c>
      <c r="X537" s="345">
        <f t="shared" si="228"/>
        <v>37.060677888725671</v>
      </c>
      <c r="Y537" s="346">
        <f t="shared" si="229"/>
        <v>-14.897012453572245</v>
      </c>
      <c r="AA537" s="345">
        <f t="shared" si="230"/>
        <v>17.243672672841519</v>
      </c>
      <c r="AB537" s="346">
        <f t="shared" si="231"/>
        <v>-88.396103163735958</v>
      </c>
      <c r="AD537">
        <f t="shared" si="235"/>
        <v>0</v>
      </c>
      <c r="AE537">
        <f t="shared" si="212"/>
        <v>0</v>
      </c>
    </row>
    <row r="538" spans="1:31" x14ac:dyDescent="0.2">
      <c r="A538" s="347">
        <v>79895.5</v>
      </c>
      <c r="B538" s="364">
        <f t="shared" si="232"/>
        <v>79.895499999999998</v>
      </c>
      <c r="C538" s="337">
        <f t="shared" si="213"/>
        <v>158.56548457879751</v>
      </c>
      <c r="D538" s="338">
        <f t="shared" si="214"/>
        <v>1.5644897422848956</v>
      </c>
      <c r="E538" s="338">
        <f t="shared" si="215"/>
        <v>1.0072315166366053</v>
      </c>
      <c r="F538" s="339">
        <f t="shared" si="216"/>
        <v>0.11990166678249971</v>
      </c>
      <c r="G538" s="338">
        <f t="shared" si="217"/>
        <v>1</v>
      </c>
      <c r="H538" s="339">
        <f t="shared" si="218"/>
        <v>0</v>
      </c>
      <c r="I538" s="337">
        <f t="shared" si="219"/>
        <v>15114.357551442017</v>
      </c>
      <c r="J538" s="340">
        <f t="shared" si="220"/>
        <v>1.5707301645384246</v>
      </c>
      <c r="K538" s="348">
        <f t="shared" si="236"/>
        <v>14.285768632219826</v>
      </c>
      <c r="L538" s="349">
        <f t="shared" si="237"/>
        <v>1.5007393006585428</v>
      </c>
      <c r="M538" s="337">
        <f t="shared" si="221"/>
        <v>1.0184594378598446</v>
      </c>
      <c r="N538" s="340">
        <f t="shared" si="222"/>
        <v>0.1906823591022018</v>
      </c>
      <c r="O538" s="341">
        <f t="shared" si="223"/>
        <v>0.99842056862957695</v>
      </c>
      <c r="P538" s="342">
        <f t="shared" si="224"/>
        <v>9.813584700089055E-2</v>
      </c>
      <c r="Q538" s="343">
        <f t="shared" si="225"/>
        <v>-2.5452972358409132</v>
      </c>
      <c r="R538" s="344">
        <f t="shared" si="226"/>
        <v>-103.32704534032017</v>
      </c>
      <c r="S538" s="346">
        <f t="shared" si="227"/>
        <v>76.672954659679831</v>
      </c>
      <c r="U538" s="319">
        <f t="shared" si="233"/>
        <v>79895.5</v>
      </c>
      <c r="V538" s="319">
        <f t="shared" si="234"/>
        <v>6383290920.25</v>
      </c>
      <c r="X538" s="345">
        <f t="shared" si="228"/>
        <v>37.058628065531174</v>
      </c>
      <c r="Y538" s="346">
        <f t="shared" si="229"/>
        <v>-14.935475526012274</v>
      </c>
      <c r="AA538" s="345">
        <f t="shared" si="230"/>
        <v>17.194121711544671</v>
      </c>
      <c r="AB538" s="346">
        <f t="shared" si="231"/>
        <v>-88.391569814307886</v>
      </c>
      <c r="AD538">
        <f t="shared" si="235"/>
        <v>0</v>
      </c>
      <c r="AE538">
        <f t="shared" ref="AE538:AE601" si="238">IF(AD538&gt;0,S538,0)</f>
        <v>0</v>
      </c>
    </row>
    <row r="539" spans="1:31" x14ac:dyDescent="0.2">
      <c r="A539" s="347">
        <v>80358</v>
      </c>
      <c r="B539" s="364">
        <f t="shared" si="232"/>
        <v>80.358000000000004</v>
      </c>
      <c r="C539" s="337">
        <f t="shared" si="213"/>
        <v>159.4833538985352</v>
      </c>
      <c r="D539" s="338">
        <f t="shared" si="214"/>
        <v>1.5645260388410949</v>
      </c>
      <c r="E539" s="338">
        <f t="shared" si="215"/>
        <v>1.0073151778465947</v>
      </c>
      <c r="F539" s="339">
        <f t="shared" si="216"/>
        <v>0.12058906467535678</v>
      </c>
      <c r="G539" s="338">
        <f t="shared" si="217"/>
        <v>1</v>
      </c>
      <c r="H539" s="339">
        <f t="shared" si="218"/>
        <v>0</v>
      </c>
      <c r="I539" s="337">
        <f t="shared" si="219"/>
        <v>15201.851719912456</v>
      </c>
      <c r="J539" s="340">
        <f t="shared" si="220"/>
        <v>1.5707305453349043</v>
      </c>
      <c r="K539" s="348">
        <f t="shared" si="236"/>
        <v>14.368062201048719</v>
      </c>
      <c r="L539" s="349">
        <f t="shared" si="237"/>
        <v>1.5011412067620351</v>
      </c>
      <c r="M539" s="337">
        <f t="shared" si="221"/>
        <v>1.0186718083210731</v>
      </c>
      <c r="N539" s="340">
        <f t="shared" si="222"/>
        <v>0.19175939635910189</v>
      </c>
      <c r="O539" s="341">
        <f t="shared" si="223"/>
        <v>0.99840245465229871</v>
      </c>
      <c r="P539" s="342">
        <f t="shared" si="224"/>
        <v>9.870758035224568E-2</v>
      </c>
      <c r="Q539" s="343">
        <f t="shared" si="225"/>
        <v>-2.5966075093528191</v>
      </c>
      <c r="R539" s="344">
        <f t="shared" si="226"/>
        <v>-103.36120187351209</v>
      </c>
      <c r="S539" s="346">
        <f t="shared" si="227"/>
        <v>76.638798126487913</v>
      </c>
      <c r="U539" s="319">
        <f t="shared" si="233"/>
        <v>80358</v>
      </c>
      <c r="V539" s="319">
        <f t="shared" si="234"/>
        <v>6457408164</v>
      </c>
      <c r="X539" s="345">
        <f t="shared" si="228"/>
        <v>37.056572802913522</v>
      </c>
      <c r="Y539" s="346">
        <f t="shared" si="229"/>
        <v>-14.974179509795711</v>
      </c>
      <c r="AA539" s="345">
        <f t="shared" si="230"/>
        <v>17.144866700650418</v>
      </c>
      <c r="AB539" s="346">
        <f t="shared" si="231"/>
        <v>-88.387022363716397</v>
      </c>
      <c r="AD539">
        <f t="shared" si="235"/>
        <v>0</v>
      </c>
      <c r="AE539">
        <f t="shared" si="238"/>
        <v>0</v>
      </c>
    </row>
    <row r="540" spans="1:31" x14ac:dyDescent="0.2">
      <c r="A540" s="347">
        <v>80820.5</v>
      </c>
      <c r="B540" s="364">
        <f t="shared" si="232"/>
        <v>80.820499999999996</v>
      </c>
      <c r="C540" s="337">
        <f t="shared" si="213"/>
        <v>160.40122342597803</v>
      </c>
      <c r="D540" s="338">
        <f t="shared" si="214"/>
        <v>1.5645619199952365</v>
      </c>
      <c r="E540" s="338">
        <f t="shared" si="215"/>
        <v>1.0073993149497977</v>
      </c>
      <c r="F540" s="339">
        <f t="shared" si="216"/>
        <v>0.12127634807118834</v>
      </c>
      <c r="G540" s="338">
        <f t="shared" si="217"/>
        <v>1</v>
      </c>
      <c r="H540" s="339">
        <f t="shared" si="218"/>
        <v>0</v>
      </c>
      <c r="I540" s="337">
        <f t="shared" si="219"/>
        <v>15289.345888385074</v>
      </c>
      <c r="J540" s="340">
        <f t="shared" si="220"/>
        <v>1.5707309217731245</v>
      </c>
      <c r="K540" s="348">
        <f t="shared" si="236"/>
        <v>14.450358064295051</v>
      </c>
      <c r="L540" s="349">
        <f t="shared" si="237"/>
        <v>1.5015385351588348</v>
      </c>
      <c r="M540" s="337">
        <f t="shared" si="221"/>
        <v>1.0188853599576253</v>
      </c>
      <c r="N540" s="340">
        <f t="shared" si="222"/>
        <v>0.19283598338463817</v>
      </c>
      <c r="O540" s="341">
        <f t="shared" si="223"/>
        <v>0.99838424133773385</v>
      </c>
      <c r="P540" s="342">
        <f t="shared" si="224"/>
        <v>9.927937673477448E-2</v>
      </c>
      <c r="Q540" s="343">
        <f t="shared" si="225"/>
        <v>-2.647630699309528</v>
      </c>
      <c r="R540" s="344">
        <f t="shared" si="226"/>
        <v>-103.39558101474266</v>
      </c>
      <c r="S540" s="346">
        <f t="shared" si="227"/>
        <v>76.60441898525734</v>
      </c>
      <c r="U540" s="319">
        <f t="shared" si="233"/>
        <v>80820.5</v>
      </c>
      <c r="V540" s="319">
        <f t="shared" si="234"/>
        <v>6531953220.25</v>
      </c>
      <c r="X540" s="345">
        <f t="shared" si="228"/>
        <v>37.054512016365486</v>
      </c>
      <c r="Y540" s="346">
        <f t="shared" si="229"/>
        <v>-15.013119730785915</v>
      </c>
      <c r="AA540" s="345">
        <f t="shared" si="230"/>
        <v>17.095904297241749</v>
      </c>
      <c r="AB540" s="346">
        <f t="shared" si="231"/>
        <v>-88.382461283956729</v>
      </c>
      <c r="AD540">
        <f t="shared" si="235"/>
        <v>0</v>
      </c>
      <c r="AE540">
        <f t="shared" si="238"/>
        <v>0</v>
      </c>
    </row>
    <row r="541" spans="1:31" x14ac:dyDescent="0.2">
      <c r="A541" s="347">
        <v>81283</v>
      </c>
      <c r="B541" s="364">
        <f t="shared" si="232"/>
        <v>81.283000000000001</v>
      </c>
      <c r="C541" s="337">
        <f t="shared" si="213"/>
        <v>161.3190931575806</v>
      </c>
      <c r="D541" s="338">
        <f t="shared" si="214"/>
        <v>1.5645973928378629</v>
      </c>
      <c r="E541" s="338">
        <f t="shared" si="215"/>
        <v>1.0074839278269858</v>
      </c>
      <c r="F541" s="339">
        <f t="shared" si="216"/>
        <v>0.12196351634947347</v>
      </c>
      <c r="G541" s="338">
        <f t="shared" si="217"/>
        <v>1</v>
      </c>
      <c r="H541" s="339">
        <f t="shared" si="218"/>
        <v>0</v>
      </c>
      <c r="I541" s="337">
        <f t="shared" si="219"/>
        <v>15376.840056859834</v>
      </c>
      <c r="J541" s="340">
        <f t="shared" si="220"/>
        <v>1.57073129392748</v>
      </c>
      <c r="K541" s="348">
        <f t="shared" si="236"/>
        <v>14.532656182980181</v>
      </c>
      <c r="L541" s="349">
        <f t="shared" si="237"/>
        <v>1.5019313634927745</v>
      </c>
      <c r="M541" s="337">
        <f t="shared" si="221"/>
        <v>1.0191000920269579</v>
      </c>
      <c r="N541" s="340">
        <f t="shared" si="222"/>
        <v>0.19391211796702132</v>
      </c>
      <c r="O541" s="341">
        <f t="shared" si="223"/>
        <v>0.9983659287762765</v>
      </c>
      <c r="P541" s="342">
        <f t="shared" si="224"/>
        <v>9.9851236509484617E-2</v>
      </c>
      <c r="Q541" s="343">
        <f t="shared" si="225"/>
        <v>-2.6983701731879153</v>
      </c>
      <c r="R541" s="344">
        <f t="shared" si="226"/>
        <v>-103.43017865537979</v>
      </c>
      <c r="S541" s="346">
        <f t="shared" si="227"/>
        <v>76.569821344620209</v>
      </c>
      <c r="U541" s="319">
        <f t="shared" si="233"/>
        <v>81283</v>
      </c>
      <c r="V541" s="319">
        <f t="shared" si="234"/>
        <v>6606926089</v>
      </c>
      <c r="X541" s="345">
        <f t="shared" si="228"/>
        <v>37.052445624171526</v>
      </c>
      <c r="Y541" s="346">
        <f t="shared" si="229"/>
        <v>-15.052291617855305</v>
      </c>
      <c r="AA541" s="345">
        <f t="shared" si="230"/>
        <v>17.047231215557318</v>
      </c>
      <c r="AB541" s="346">
        <f t="shared" si="231"/>
        <v>-88.377887037524516</v>
      </c>
      <c r="AD541">
        <f t="shared" si="235"/>
        <v>0</v>
      </c>
      <c r="AE541">
        <f t="shared" si="238"/>
        <v>0</v>
      </c>
    </row>
    <row r="542" spans="1:31" x14ac:dyDescent="0.2">
      <c r="A542" s="347">
        <v>81756.25</v>
      </c>
      <c r="B542" s="364">
        <f t="shared" si="232"/>
        <v>81.756249999999994</v>
      </c>
      <c r="C542" s="337">
        <f t="shared" si="213"/>
        <v>162.25829736633904</v>
      </c>
      <c r="D542" s="338">
        <f t="shared" si="214"/>
        <v>1.5646332747550655</v>
      </c>
      <c r="E542" s="338">
        <f t="shared" si="215"/>
        <v>1.0075709997471196</v>
      </c>
      <c r="F542" s="339">
        <f t="shared" si="216"/>
        <v>0.1226665368383746</v>
      </c>
      <c r="G542" s="338">
        <f t="shared" si="217"/>
        <v>1</v>
      </c>
      <c r="H542" s="339">
        <f t="shared" si="218"/>
        <v>0</v>
      </c>
      <c r="I542" s="337">
        <f t="shared" si="219"/>
        <v>15466.367873576997</v>
      </c>
      <c r="J542" s="340">
        <f t="shared" si="220"/>
        <v>1.5707316703733716</v>
      </c>
      <c r="K542" s="348">
        <f t="shared" si="236"/>
        <v>14.616869471799172</v>
      </c>
      <c r="L542" s="349">
        <f t="shared" si="237"/>
        <v>1.5023287434244044</v>
      </c>
      <c r="M542" s="337">
        <f t="shared" si="221"/>
        <v>1.0193210362950478</v>
      </c>
      <c r="N542" s="340">
        <f t="shared" si="222"/>
        <v>0.19501279476663594</v>
      </c>
      <c r="O542" s="341">
        <f t="shared" si="223"/>
        <v>0.99834708793241522</v>
      </c>
      <c r="P542" s="342">
        <f t="shared" si="224"/>
        <v>0.1004364541560569</v>
      </c>
      <c r="Q542" s="343">
        <f t="shared" si="225"/>
        <v>-2.7499987639271977</v>
      </c>
      <c r="R542" s="344">
        <f t="shared" si="226"/>
        <v>-103.46580244319807</v>
      </c>
      <c r="S542" s="346">
        <f t="shared" si="227"/>
        <v>76.534197556801928</v>
      </c>
      <c r="U542" s="319">
        <f t="shared" si="233"/>
        <v>81756.25</v>
      </c>
      <c r="V542" s="319">
        <f t="shared" si="234"/>
        <v>6684084414.0625</v>
      </c>
      <c r="X542" s="345">
        <f t="shared" si="228"/>
        <v>37.050325317310644</v>
      </c>
      <c r="Y542" s="346">
        <f t="shared" si="229"/>
        <v>-15.092609128942474</v>
      </c>
      <c r="AA542" s="345">
        <f t="shared" si="230"/>
        <v>16.997722931678926</v>
      </c>
      <c r="AB542" s="346">
        <f t="shared" si="231"/>
        <v>-88.373193314255616</v>
      </c>
      <c r="AD542">
        <f t="shared" si="235"/>
        <v>0</v>
      </c>
      <c r="AE542">
        <f t="shared" si="238"/>
        <v>0</v>
      </c>
    </row>
    <row r="543" spans="1:31" x14ac:dyDescent="0.2">
      <c r="A543" s="347">
        <v>82229.5</v>
      </c>
      <c r="B543" s="364">
        <f t="shared" si="232"/>
        <v>82.229500000000002</v>
      </c>
      <c r="C543" s="337">
        <f t="shared" si="213"/>
        <v>163.19750178160243</v>
      </c>
      <c r="D543" s="338">
        <f t="shared" si="214"/>
        <v>1.5646687436702185</v>
      </c>
      <c r="E543" s="338">
        <f t="shared" si="215"/>
        <v>1.0076585695607307</v>
      </c>
      <c r="F543" s="339">
        <f t="shared" si="216"/>
        <v>0.12336943548368608</v>
      </c>
      <c r="G543" s="338">
        <f t="shared" si="217"/>
        <v>1</v>
      </c>
      <c r="H543" s="339">
        <f t="shared" si="218"/>
        <v>0</v>
      </c>
      <c r="I543" s="337">
        <f t="shared" si="219"/>
        <v>15555.895690296327</v>
      </c>
      <c r="J543" s="340">
        <f t="shared" si="220"/>
        <v>1.5707320424861948</v>
      </c>
      <c r="K543" s="348">
        <f t="shared" si="236"/>
        <v>14.701085042335633</v>
      </c>
      <c r="L543" s="349">
        <f t="shared" si="237"/>
        <v>1.5027215706137105</v>
      </c>
      <c r="M543" s="337">
        <f t="shared" si="221"/>
        <v>1.0195432149236867</v>
      </c>
      <c r="N543" s="340">
        <f t="shared" si="222"/>
        <v>0.19611299318016404</v>
      </c>
      <c r="O543" s="341">
        <f t="shared" si="223"/>
        <v>0.99832814336758324</v>
      </c>
      <c r="P543" s="342">
        <f t="shared" si="224"/>
        <v>0.10102173894058745</v>
      </c>
      <c r="Q543" s="343">
        <f t="shared" si="225"/>
        <v>-2.8013372437068189</v>
      </c>
      <c r="R543" s="344">
        <f t="shared" si="226"/>
        <v>-103.50164659073745</v>
      </c>
      <c r="S543" s="346">
        <f t="shared" si="227"/>
        <v>76.498353409262549</v>
      </c>
      <c r="U543" s="319">
        <f t="shared" si="233"/>
        <v>82229.5</v>
      </c>
      <c r="V543" s="319">
        <f t="shared" si="234"/>
        <v>6761690670.25</v>
      </c>
      <c r="X543" s="345">
        <f t="shared" si="228"/>
        <v>37.04819897664018</v>
      </c>
      <c r="Y543" s="346">
        <f t="shared" si="229"/>
        <v>-15.133159835179995</v>
      </c>
      <c r="AA543" s="345">
        <f t="shared" si="230"/>
        <v>16.948510792569756</v>
      </c>
      <c r="AB543" s="346">
        <f t="shared" si="231"/>
        <v>-88.368486755557413</v>
      </c>
      <c r="AD543">
        <f t="shared" si="235"/>
        <v>0</v>
      </c>
      <c r="AE543">
        <f t="shared" si="238"/>
        <v>0</v>
      </c>
    </row>
    <row r="544" spans="1:31" x14ac:dyDescent="0.2">
      <c r="A544" s="347">
        <v>82702.75</v>
      </c>
      <c r="B544" s="364">
        <f t="shared" si="232"/>
        <v>82.702749999999995</v>
      </c>
      <c r="C544" s="337">
        <f t="shared" si="213"/>
        <v>164.13670639982587</v>
      </c>
      <c r="D544" s="338">
        <f t="shared" si="214"/>
        <v>1.5647038066729335</v>
      </c>
      <c r="E544" s="338">
        <f t="shared" si="215"/>
        <v>1.0077466371380239</v>
      </c>
      <c r="F544" s="339">
        <f t="shared" si="216"/>
        <v>0.12407221162270488</v>
      </c>
      <c r="G544" s="338">
        <f t="shared" si="217"/>
        <v>1</v>
      </c>
      <c r="H544" s="339">
        <f t="shared" si="218"/>
        <v>0</v>
      </c>
      <c r="I544" s="337">
        <f t="shared" si="219"/>
        <v>15645.423507017786</v>
      </c>
      <c r="J544" s="340">
        <f t="shared" si="220"/>
        <v>1.5707324103403353</v>
      </c>
      <c r="K544" s="348">
        <f t="shared" si="236"/>
        <v>14.785302855600277</v>
      </c>
      <c r="L544" s="349">
        <f t="shared" si="237"/>
        <v>1.5031099227363414</v>
      </c>
      <c r="M544" s="337">
        <f t="shared" si="221"/>
        <v>1.0197666271060768</v>
      </c>
      <c r="N544" s="340">
        <f t="shared" si="222"/>
        <v>0.1972127108577198</v>
      </c>
      <c r="O544" s="341">
        <f t="shared" si="223"/>
        <v>0.99830909518033928</v>
      </c>
      <c r="P544" s="342">
        <f t="shared" si="224"/>
        <v>0.10160709124973917</v>
      </c>
      <c r="Q544" s="343">
        <f t="shared" si="225"/>
        <v>-2.8523890343482163</v>
      </c>
      <c r="R544" s="344">
        <f t="shared" si="226"/>
        <v>-103.53770698346352</v>
      </c>
      <c r="S544" s="346">
        <f t="shared" si="227"/>
        <v>76.462293016536478</v>
      </c>
      <c r="U544" s="319">
        <f t="shared" si="233"/>
        <v>82702.75</v>
      </c>
      <c r="V544" s="319">
        <f t="shared" si="234"/>
        <v>6839744857.5625</v>
      </c>
      <c r="X544" s="345">
        <f t="shared" si="228"/>
        <v>37.046066523099206</v>
      </c>
      <c r="Y544" s="346">
        <f t="shared" si="229"/>
        <v>-15.173939155704497</v>
      </c>
      <c r="AA544" s="345">
        <f t="shared" si="230"/>
        <v>16.899591455469338</v>
      </c>
      <c r="AB544" s="346">
        <f t="shared" si="231"/>
        <v>-88.363767827759006</v>
      </c>
      <c r="AD544">
        <f t="shared" si="235"/>
        <v>0</v>
      </c>
      <c r="AE544">
        <f t="shared" si="238"/>
        <v>0</v>
      </c>
    </row>
    <row r="545" spans="1:31" x14ac:dyDescent="0.2">
      <c r="A545" s="347">
        <v>83176</v>
      </c>
      <c r="B545" s="364">
        <f t="shared" si="232"/>
        <v>83.176000000000002</v>
      </c>
      <c r="C545" s="337">
        <f t="shared" si="213"/>
        <v>165.0759112175451</v>
      </c>
      <c r="D545" s="338">
        <f t="shared" si="214"/>
        <v>1.56473847069148</v>
      </c>
      <c r="E545" s="338">
        <f t="shared" si="215"/>
        <v>1.0078352023485109</v>
      </c>
      <c r="F545" s="339">
        <f t="shared" si="216"/>
        <v>0.12477486459344306</v>
      </c>
      <c r="G545" s="338">
        <f t="shared" si="217"/>
        <v>1</v>
      </c>
      <c r="H545" s="339">
        <f t="shared" si="218"/>
        <v>0</v>
      </c>
      <c r="I545" s="337">
        <f t="shared" si="219"/>
        <v>15734.951323741339</v>
      </c>
      <c r="J545" s="340">
        <f t="shared" si="220"/>
        <v>1.5707327740084851</v>
      </c>
      <c r="K545" s="348">
        <f t="shared" si="236"/>
        <v>14.869522873486096</v>
      </c>
      <c r="L545" s="349">
        <f t="shared" si="237"/>
        <v>1.5034938757136167</v>
      </c>
      <c r="M545" s="337">
        <f t="shared" si="221"/>
        <v>1.0199912720316495</v>
      </c>
      <c r="N545" s="340">
        <f t="shared" si="222"/>
        <v>0.19831194545612166</v>
      </c>
      <c r="O545" s="341">
        <f t="shared" si="223"/>
        <v>0.99828994346981981</v>
      </c>
      <c r="P545" s="342">
        <f t="shared" si="224"/>
        <v>0.10219251147013809</v>
      </c>
      <c r="Q545" s="343">
        <f t="shared" si="225"/>
        <v>-2.9031574978538215</v>
      </c>
      <c r="R545" s="344">
        <f t="shared" si="226"/>
        <v>-103.57397959835745</v>
      </c>
      <c r="S545" s="346">
        <f t="shared" si="227"/>
        <v>76.426020401642546</v>
      </c>
      <c r="U545" s="319">
        <f t="shared" si="233"/>
        <v>83176</v>
      </c>
      <c r="V545" s="319">
        <f t="shared" si="234"/>
        <v>6918246976</v>
      </c>
      <c r="X545" s="345">
        <f t="shared" si="228"/>
        <v>37.043927880300778</v>
      </c>
      <c r="Y545" s="346">
        <f t="shared" si="229"/>
        <v>-15.214942610455312</v>
      </c>
      <c r="AA545" s="345">
        <f t="shared" si="230"/>
        <v>16.850961634762157</v>
      </c>
      <c r="AB545" s="346">
        <f t="shared" si="231"/>
        <v>-88.35903698790213</v>
      </c>
      <c r="AD545">
        <f t="shared" si="235"/>
        <v>0</v>
      </c>
      <c r="AE545">
        <f t="shared" si="238"/>
        <v>0</v>
      </c>
    </row>
    <row r="546" spans="1:31" x14ac:dyDescent="0.2">
      <c r="A546" s="347">
        <v>83660.5</v>
      </c>
      <c r="B546" s="364">
        <f t="shared" si="232"/>
        <v>83.660499999999999</v>
      </c>
      <c r="C546" s="337">
        <f t="shared" si="213"/>
        <v>166.03744281884809</v>
      </c>
      <c r="D546" s="338">
        <f t="shared" si="214"/>
        <v>1.5647735524815649</v>
      </c>
      <c r="E546" s="338">
        <f t="shared" si="215"/>
        <v>1.0079263882939267</v>
      </c>
      <c r="F546" s="339">
        <f t="shared" si="216"/>
        <v>0.1254940925981754</v>
      </c>
      <c r="G546" s="338">
        <f t="shared" si="217"/>
        <v>1</v>
      </c>
      <c r="H546" s="339">
        <f t="shared" si="218"/>
        <v>0</v>
      </c>
      <c r="I546" s="337">
        <f t="shared" si="219"/>
        <v>15826.607376997692</v>
      </c>
      <c r="J546" s="340">
        <f t="shared" si="220"/>
        <v>1.5707331420594164</v>
      </c>
      <c r="K546" s="348">
        <f t="shared" si="236"/>
        <v>14.955747196985904</v>
      </c>
      <c r="L546" s="349">
        <f t="shared" si="237"/>
        <v>1.5038824761714618</v>
      </c>
      <c r="M546" s="337">
        <f t="shared" si="221"/>
        <v>1.0202225333673618</v>
      </c>
      <c r="N546" s="340">
        <f t="shared" si="222"/>
        <v>0.19943680794874968</v>
      </c>
      <c r="O546" s="341">
        <f t="shared" si="223"/>
        <v>0.99827022934903908</v>
      </c>
      <c r="P546" s="342">
        <f t="shared" si="224"/>
        <v>0.1027919189332009</v>
      </c>
      <c r="Q546" s="343">
        <f t="shared" si="225"/>
        <v>-2.9548427577358987</v>
      </c>
      <c r="R546" s="344">
        <f t="shared" si="226"/>
        <v>-103.61133022054692</v>
      </c>
      <c r="S546" s="346">
        <f t="shared" si="227"/>
        <v>76.388669779453082</v>
      </c>
      <c r="U546" s="319">
        <f t="shared" si="233"/>
        <v>83660.5</v>
      </c>
      <c r="V546" s="319">
        <f t="shared" si="234"/>
        <v>6999079260.25</v>
      </c>
      <c r="X546" s="345">
        <f t="shared" si="228"/>
        <v>37.041731909388439</v>
      </c>
      <c r="Y546" s="346">
        <f t="shared" si="229"/>
        <v>-15.257148405477318</v>
      </c>
      <c r="AA546" s="345">
        <f t="shared" si="230"/>
        <v>16.801472345792423</v>
      </c>
      <c r="AB546" s="346">
        <f t="shared" si="231"/>
        <v>-88.35418181506958</v>
      </c>
      <c r="AD546">
        <f t="shared" si="235"/>
        <v>0</v>
      </c>
      <c r="AE546">
        <f t="shared" si="238"/>
        <v>0</v>
      </c>
    </row>
    <row r="547" spans="1:31" x14ac:dyDescent="0.2">
      <c r="A547" s="347">
        <v>84145</v>
      </c>
      <c r="B547" s="364">
        <f t="shared" si="232"/>
        <v>84.144999999999996</v>
      </c>
      <c r="C547" s="337">
        <f t="shared" si="213"/>
        <v>166.99897462214554</v>
      </c>
      <c r="D547" s="338">
        <f t="shared" si="214"/>
        <v>1.5648082302900872</v>
      </c>
      <c r="E547" s="338">
        <f t="shared" si="215"/>
        <v>1.0080180955340103</v>
      </c>
      <c r="F547" s="339">
        <f t="shared" si="216"/>
        <v>0.12621319010731033</v>
      </c>
      <c r="G547" s="338">
        <f t="shared" si="217"/>
        <v>1</v>
      </c>
      <c r="H547" s="339">
        <f t="shared" si="218"/>
        <v>0</v>
      </c>
      <c r="I547" s="337">
        <f t="shared" si="219"/>
        <v>15918.263430256166</v>
      </c>
      <c r="J547" s="340">
        <f t="shared" si="220"/>
        <v>1.5707335058719336</v>
      </c>
      <c r="K547" s="348">
        <f t="shared" si="236"/>
        <v>15.041973753065376</v>
      </c>
      <c r="L547" s="349">
        <f t="shared" si="237"/>
        <v>1.5042666214630382</v>
      </c>
      <c r="M547" s="337">
        <f t="shared" si="221"/>
        <v>1.0204550850205327</v>
      </c>
      <c r="N547" s="340">
        <f t="shared" si="222"/>
        <v>0.20056115917335396</v>
      </c>
      <c r="O547" s="341">
        <f t="shared" si="223"/>
        <v>0.99825040693675449</v>
      </c>
      <c r="P547" s="342">
        <f t="shared" si="224"/>
        <v>0.10339139839459718</v>
      </c>
      <c r="Q547" s="343">
        <f t="shared" si="225"/>
        <v>-3.0062380050877522</v>
      </c>
      <c r="R547" s="344">
        <f t="shared" si="226"/>
        <v>-103.64889502422672</v>
      </c>
      <c r="S547" s="346">
        <f t="shared" si="227"/>
        <v>76.351104975773282</v>
      </c>
      <c r="U547" s="319">
        <f t="shared" si="233"/>
        <v>84145</v>
      </c>
      <c r="V547" s="319">
        <f t="shared" si="234"/>
        <v>7080381025</v>
      </c>
      <c r="X547" s="345">
        <f t="shared" si="228"/>
        <v>37.039529297644044</v>
      </c>
      <c r="Y547" s="346">
        <f t="shared" si="229"/>
        <v>-15.299579926380616</v>
      </c>
      <c r="AA547" s="345">
        <f t="shared" si="230"/>
        <v>16.752279710184961</v>
      </c>
      <c r="AB547" s="346">
        <f t="shared" si="231"/>
        <v>-88.349315097846087</v>
      </c>
      <c r="AD547">
        <f t="shared" si="235"/>
        <v>0</v>
      </c>
      <c r="AE547">
        <f t="shared" si="238"/>
        <v>0</v>
      </c>
    </row>
    <row r="548" spans="1:31" x14ac:dyDescent="0.2">
      <c r="A548" s="347">
        <v>84629.5</v>
      </c>
      <c r="B548" s="364">
        <f t="shared" si="232"/>
        <v>84.629499999999993</v>
      </c>
      <c r="C548" s="337">
        <f t="shared" si="213"/>
        <v>167.96050662396831</v>
      </c>
      <c r="D548" s="338">
        <f t="shared" si="214"/>
        <v>1.5648425110550439</v>
      </c>
      <c r="E548" s="338">
        <f t="shared" si="215"/>
        <v>1.0081103239264964</v>
      </c>
      <c r="F548" s="339">
        <f t="shared" si="216"/>
        <v>0.12693215641287078</v>
      </c>
      <c r="G548" s="338">
        <f t="shared" si="217"/>
        <v>1</v>
      </c>
      <c r="H548" s="339">
        <f t="shared" si="218"/>
        <v>0</v>
      </c>
      <c r="I548" s="337">
        <f t="shared" si="219"/>
        <v>16009.919483516722</v>
      </c>
      <c r="J548" s="340">
        <f t="shared" si="220"/>
        <v>1.570733865518831</v>
      </c>
      <c r="K548" s="348">
        <f t="shared" si="236"/>
        <v>15.128202503549261</v>
      </c>
      <c r="L548" s="349">
        <f t="shared" si="237"/>
        <v>1.5046463876555638</v>
      </c>
      <c r="M548" s="337">
        <f t="shared" si="221"/>
        <v>1.020688926109212</v>
      </c>
      <c r="N548" s="340">
        <f t="shared" si="222"/>
        <v>0.20168499663763628</v>
      </c>
      <c r="O548" s="341">
        <f t="shared" si="223"/>
        <v>0.99823047634122664</v>
      </c>
      <c r="P548" s="342">
        <f t="shared" si="224"/>
        <v>0.10399095026906424</v>
      </c>
      <c r="Q548" s="343">
        <f t="shared" si="225"/>
        <v>-3.0573466615055924</v>
      </c>
      <c r="R548" s="344">
        <f t="shared" si="226"/>
        <v>-103.68666997428367</v>
      </c>
      <c r="S548" s="346">
        <f t="shared" si="227"/>
        <v>76.313330025716326</v>
      </c>
      <c r="U548" s="319">
        <f t="shared" si="233"/>
        <v>84629.5</v>
      </c>
      <c r="V548" s="319">
        <f t="shared" si="234"/>
        <v>7162152270.25</v>
      </c>
      <c r="X548" s="345">
        <f t="shared" si="228"/>
        <v>37.037319971246603</v>
      </c>
      <c r="Y548" s="346">
        <f t="shared" si="229"/>
        <v>-15.342232676207272</v>
      </c>
      <c r="AA548" s="345">
        <f t="shared" si="230"/>
        <v>16.703380380164571</v>
      </c>
      <c r="AB548" s="346">
        <f t="shared" si="231"/>
        <v>-88.3444372980764</v>
      </c>
      <c r="AD548">
        <f t="shared" si="235"/>
        <v>0</v>
      </c>
      <c r="AE548">
        <f t="shared" si="238"/>
        <v>0</v>
      </c>
    </row>
    <row r="549" spans="1:31" x14ac:dyDescent="0.2">
      <c r="A549" s="347">
        <v>85114</v>
      </c>
      <c r="B549" s="364">
        <f t="shared" si="232"/>
        <v>85.114000000000004</v>
      </c>
      <c r="C549" s="337">
        <f t="shared" si="213"/>
        <v>168.9220388209263</v>
      </c>
      <c r="D549" s="338">
        <f t="shared" si="214"/>
        <v>1.5648764015564669</v>
      </c>
      <c r="E549" s="338">
        <f t="shared" si="215"/>
        <v>1.0082030733283627</v>
      </c>
      <c r="F549" s="339">
        <f t="shared" si="216"/>
        <v>0.12765099080768044</v>
      </c>
      <c r="G549" s="338">
        <f t="shared" si="217"/>
        <v>1</v>
      </c>
      <c r="H549" s="339">
        <f t="shared" si="218"/>
        <v>0</v>
      </c>
      <c r="I549" s="337">
        <f t="shared" si="219"/>
        <v>16101.575536779324</v>
      </c>
      <c r="J549" s="340">
        <f t="shared" si="220"/>
        <v>1.5707342210712449</v>
      </c>
      <c r="K549" s="348">
        <f t="shared" si="236"/>
        <v>15.214433411126789</v>
      </c>
      <c r="L549" s="349">
        <f t="shared" si="237"/>
        <v>1.5050218490968683</v>
      </c>
      <c r="M549" s="337">
        <f t="shared" si="221"/>
        <v>1.0209240557473704</v>
      </c>
      <c r="N549" s="340">
        <f t="shared" si="222"/>
        <v>0.20280831785676673</v>
      </c>
      <c r="O549" s="341">
        <f t="shared" si="223"/>
        <v>0.99821043767135176</v>
      </c>
      <c r="P549" s="342">
        <f t="shared" si="224"/>
        <v>0.10459057497129765</v>
      </c>
      <c r="Q549" s="343">
        <f t="shared" si="225"/>
        <v>-3.108172088767339</v>
      </c>
      <c r="R549" s="344">
        <f t="shared" si="226"/>
        <v>-103.72465112535227</v>
      </c>
      <c r="S549" s="346">
        <f t="shared" si="227"/>
        <v>76.275348874647733</v>
      </c>
      <c r="U549" s="319">
        <f t="shared" si="233"/>
        <v>85114</v>
      </c>
      <c r="V549" s="319">
        <f t="shared" si="234"/>
        <v>7244392996</v>
      </c>
      <c r="X549" s="345">
        <f t="shared" si="228"/>
        <v>37.03510385894225</v>
      </c>
      <c r="Y549" s="346">
        <f t="shared" si="229"/>
        <v>-15.385102256846</v>
      </c>
      <c r="AA549" s="345">
        <f t="shared" si="230"/>
        <v>16.654771065207175</v>
      </c>
      <c r="AB549" s="346">
        <f t="shared" si="231"/>
        <v>-88.33954886850627</v>
      </c>
      <c r="AD549">
        <f t="shared" si="235"/>
        <v>0</v>
      </c>
      <c r="AE549">
        <f t="shared" si="238"/>
        <v>0</v>
      </c>
    </row>
    <row r="550" spans="1:31" x14ac:dyDescent="0.2">
      <c r="A550" s="347">
        <v>85609.5</v>
      </c>
      <c r="B550" s="364">
        <f t="shared" si="232"/>
        <v>85.609499999999997</v>
      </c>
      <c r="C550" s="337">
        <f t="shared" si="213"/>
        <v>169.90540166861888</v>
      </c>
      <c r="D550" s="338">
        <f t="shared" si="214"/>
        <v>1.5649106647517517</v>
      </c>
      <c r="E550" s="338">
        <f t="shared" si="215"/>
        <v>1.0082984672329771</v>
      </c>
      <c r="F550" s="339">
        <f t="shared" si="216"/>
        <v>0.12838600831482869</v>
      </c>
      <c r="G550" s="338">
        <f t="shared" si="217"/>
        <v>1</v>
      </c>
      <c r="H550" s="339">
        <f t="shared" si="218"/>
        <v>0</v>
      </c>
      <c r="I550" s="337">
        <f t="shared" si="219"/>
        <v>16195.312532429745</v>
      </c>
      <c r="J550" s="340">
        <f t="shared" si="220"/>
        <v>1.5707345805335242</v>
      </c>
      <c r="K550" s="348">
        <f t="shared" si="236"/>
        <v>15.302624282676126</v>
      </c>
      <c r="L550" s="349">
        <f t="shared" si="237"/>
        <v>1.5054014582141069</v>
      </c>
      <c r="M550" s="337">
        <f t="shared" si="221"/>
        <v>1.0211658555625687</v>
      </c>
      <c r="N550" s="340">
        <f t="shared" si="222"/>
        <v>0.20395660621582862</v>
      </c>
      <c r="O550" s="341">
        <f t="shared" si="223"/>
        <v>0.99818983237855619</v>
      </c>
      <c r="P550" s="342">
        <f t="shared" si="224"/>
        <v>0.10520388920272662</v>
      </c>
      <c r="Q550" s="343">
        <f t="shared" si="225"/>
        <v>-3.1598619417817049</v>
      </c>
      <c r="R550" s="344">
        <f t="shared" si="226"/>
        <v>-103.76370384985498</v>
      </c>
      <c r="S550" s="346">
        <f t="shared" si="227"/>
        <v>76.236296150145023</v>
      </c>
      <c r="U550" s="319">
        <f t="shared" si="233"/>
        <v>85609.5</v>
      </c>
      <c r="V550" s="319">
        <f t="shared" si="234"/>
        <v>7328986490.25</v>
      </c>
      <c r="X550" s="345">
        <f t="shared" si="228"/>
        <v>37.032830342016588</v>
      </c>
      <c r="Y550" s="346">
        <f t="shared" si="229"/>
        <v>-15.429164928923639</v>
      </c>
      <c r="AA550" s="345">
        <f t="shared" si="230"/>
        <v>16.605354729118467</v>
      </c>
      <c r="AB550" s="346">
        <f t="shared" si="231"/>
        <v>-88.334538920931365</v>
      </c>
      <c r="AD550">
        <f t="shared" si="235"/>
        <v>0</v>
      </c>
      <c r="AE550">
        <f t="shared" si="238"/>
        <v>0</v>
      </c>
    </row>
    <row r="551" spans="1:31" x14ac:dyDescent="0.2">
      <c r="A551" s="347">
        <v>86105</v>
      </c>
      <c r="B551" s="364">
        <f t="shared" si="232"/>
        <v>86.105000000000004</v>
      </c>
      <c r="C551" s="337">
        <f t="shared" si="213"/>
        <v>170.88876471347911</v>
      </c>
      <c r="D551" s="338">
        <f t="shared" si="214"/>
        <v>1.5649445336185184</v>
      </c>
      <c r="E551" s="338">
        <f t="shared" si="215"/>
        <v>1.0083944057683452</v>
      </c>
      <c r="F551" s="339">
        <f t="shared" si="216"/>
        <v>0.12912088635995933</v>
      </c>
      <c r="G551" s="338">
        <f t="shared" si="217"/>
        <v>1</v>
      </c>
      <c r="H551" s="339">
        <f t="shared" si="218"/>
        <v>0</v>
      </c>
      <c r="I551" s="337">
        <f t="shared" si="219"/>
        <v>16289.049528082234</v>
      </c>
      <c r="J551" s="340">
        <f t="shared" si="220"/>
        <v>1.5707349358586788</v>
      </c>
      <c r="K551" s="348">
        <f t="shared" si="236"/>
        <v>15.390817334109091</v>
      </c>
      <c r="L551" s="349">
        <f t="shared" si="237"/>
        <v>1.5057767168834773</v>
      </c>
      <c r="M551" s="337">
        <f t="shared" si="221"/>
        <v>1.0214090012139614</v>
      </c>
      <c r="N551" s="340">
        <f t="shared" si="222"/>
        <v>0.20510434938929104</v>
      </c>
      <c r="O551" s="341">
        <f t="shared" si="223"/>
        <v>0.99816911428072164</v>
      </c>
      <c r="P551" s="342">
        <f t="shared" si="224"/>
        <v>0.10581728048359072</v>
      </c>
      <c r="Q551" s="343">
        <f t="shared" si="225"/>
        <v>-3.2112624854386169</v>
      </c>
      <c r="R551" s="344">
        <f t="shared" si="226"/>
        <v>-103.80296417461877</v>
      </c>
      <c r="S551" s="346">
        <f t="shared" si="227"/>
        <v>76.197035825381235</v>
      </c>
      <c r="U551" s="319">
        <f t="shared" si="233"/>
        <v>86105</v>
      </c>
      <c r="V551" s="319">
        <f t="shared" si="234"/>
        <v>7414071025</v>
      </c>
      <c r="X551" s="345">
        <f t="shared" si="228"/>
        <v>37.030549584667916</v>
      </c>
      <c r="Y551" s="346">
        <f t="shared" si="229"/>
        <v>-15.473445389429678</v>
      </c>
      <c r="AA551" s="345">
        <f t="shared" si="230"/>
        <v>16.556234942810228</v>
      </c>
      <c r="AB551" s="346">
        <f t="shared" si="231"/>
        <v>-88.329518785189066</v>
      </c>
      <c r="AD551">
        <f t="shared" si="235"/>
        <v>0</v>
      </c>
      <c r="AE551">
        <f t="shared" si="238"/>
        <v>0</v>
      </c>
    </row>
    <row r="552" spans="1:31" x14ac:dyDescent="0.2">
      <c r="A552" s="347">
        <v>86600.5</v>
      </c>
      <c r="B552" s="364">
        <f t="shared" si="232"/>
        <v>86.600499999999997</v>
      </c>
      <c r="C552" s="337">
        <f t="shared" si="213"/>
        <v>171.87212795212275</v>
      </c>
      <c r="D552" s="338">
        <f t="shared" si="214"/>
        <v>1.5649780149251189</v>
      </c>
      <c r="E552" s="338">
        <f t="shared" si="215"/>
        <v>1.0084908887790336</v>
      </c>
      <c r="F552" s="339">
        <f t="shared" si="216"/>
        <v>0.12985562418925198</v>
      </c>
      <c r="G552" s="338">
        <f t="shared" si="217"/>
        <v>1</v>
      </c>
      <c r="H552" s="339">
        <f t="shared" si="218"/>
        <v>0</v>
      </c>
      <c r="I552" s="337">
        <f t="shared" si="219"/>
        <v>16382.786523736755</v>
      </c>
      <c r="J552" s="340">
        <f t="shared" si="220"/>
        <v>1.5707352871177225</v>
      </c>
      <c r="K552" s="348">
        <f t="shared" si="236"/>
        <v>15.479012528165445</v>
      </c>
      <c r="L552" s="349">
        <f t="shared" si="237"/>
        <v>1.5061476993613767</v>
      </c>
      <c r="M552" s="337">
        <f t="shared" si="221"/>
        <v>1.0216534917406532</v>
      </c>
      <c r="N552" s="340">
        <f t="shared" si="222"/>
        <v>0.2062515447436106</v>
      </c>
      <c r="O552" s="341">
        <f t="shared" si="223"/>
        <v>0.99814828349639617</v>
      </c>
      <c r="P552" s="342">
        <f t="shared" si="224"/>
        <v>0.10643074925733961</v>
      </c>
      <c r="Q552" s="343">
        <f t="shared" si="225"/>
        <v>-3.2623771304899774</v>
      </c>
      <c r="R552" s="344">
        <f t="shared" si="226"/>
        <v>-103.84242815463976</v>
      </c>
      <c r="S552" s="346">
        <f t="shared" si="227"/>
        <v>76.157571845360238</v>
      </c>
      <c r="U552" s="319">
        <f t="shared" si="233"/>
        <v>86600.5</v>
      </c>
      <c r="V552" s="319">
        <f t="shared" si="234"/>
        <v>7499646600.25</v>
      </c>
      <c r="X552" s="345">
        <f t="shared" si="228"/>
        <v>37.028261518469066</v>
      </c>
      <c r="Y552" s="346">
        <f t="shared" si="229"/>
        <v>-15.517939236963819</v>
      </c>
      <c r="AA552" s="345">
        <f t="shared" si="230"/>
        <v>16.507408363957719</v>
      </c>
      <c r="AB552" s="346">
        <f t="shared" si="231"/>
        <v>-88.324488917675922</v>
      </c>
      <c r="AD552">
        <f t="shared" si="235"/>
        <v>0</v>
      </c>
      <c r="AE552">
        <f t="shared" si="238"/>
        <v>0</v>
      </c>
    </row>
    <row r="553" spans="1:31" x14ac:dyDescent="0.2">
      <c r="A553" s="347">
        <v>87096</v>
      </c>
      <c r="B553" s="364">
        <f t="shared" si="232"/>
        <v>87.096000000000004</v>
      </c>
      <c r="C553" s="337">
        <f t="shared" si="213"/>
        <v>172.8554913812425</v>
      </c>
      <c r="D553" s="338">
        <f t="shared" si="214"/>
        <v>1.5650111152858897</v>
      </c>
      <c r="E553" s="338">
        <f t="shared" si="215"/>
        <v>1.0085879161087863</v>
      </c>
      <c r="F553" s="339">
        <f t="shared" si="216"/>
        <v>0.13059022104977952</v>
      </c>
      <c r="G553" s="338">
        <f t="shared" si="217"/>
        <v>1</v>
      </c>
      <c r="H553" s="339">
        <f t="shared" si="218"/>
        <v>0</v>
      </c>
      <c r="I553" s="337">
        <f t="shared" si="219"/>
        <v>16476.523519393275</v>
      </c>
      <c r="J553" s="340">
        <f t="shared" si="220"/>
        <v>1.5707356343800534</v>
      </c>
      <c r="K553" s="348">
        <f t="shared" si="236"/>
        <v>15.567209828428428</v>
      </c>
      <c r="L553" s="349">
        <f t="shared" si="237"/>
        <v>1.5065144782261499</v>
      </c>
      <c r="M553" s="337">
        <f t="shared" si="221"/>
        <v>1.021899326177355</v>
      </c>
      <c r="N553" s="340">
        <f t="shared" si="222"/>
        <v>0.20739818965352505</v>
      </c>
      <c r="O553" s="341">
        <f t="shared" si="223"/>
        <v>0.99812734014482418</v>
      </c>
      <c r="P553" s="342">
        <f t="shared" si="224"/>
        <v>0.10704429596737583</v>
      </c>
      <c r="Q553" s="343">
        <f t="shared" si="225"/>
        <v>-3.3132092281140899</v>
      </c>
      <c r="R553" s="344">
        <f t="shared" si="226"/>
        <v>-103.88209193256307</v>
      </c>
      <c r="S553" s="346">
        <f t="shared" si="227"/>
        <v>76.117908067436929</v>
      </c>
      <c r="U553" s="319">
        <f t="shared" si="233"/>
        <v>87096</v>
      </c>
      <c r="V553" s="319">
        <f t="shared" si="234"/>
        <v>7585713216</v>
      </c>
      <c r="X553" s="345">
        <f t="shared" si="228"/>
        <v>37.025966077447805</v>
      </c>
      <c r="Y553" s="346">
        <f t="shared" si="229"/>
        <v>-15.562642166652996</v>
      </c>
      <c r="AA553" s="345">
        <f t="shared" si="230"/>
        <v>16.458871707354866</v>
      </c>
      <c r="AB553" s="346">
        <f t="shared" si="231"/>
        <v>-88.319449765910107</v>
      </c>
      <c r="AD553">
        <f t="shared" si="235"/>
        <v>0</v>
      </c>
      <c r="AE553">
        <f t="shared" si="238"/>
        <v>0</v>
      </c>
    </row>
    <row r="554" spans="1:31" x14ac:dyDescent="0.2">
      <c r="A554" s="347">
        <v>87603.25</v>
      </c>
      <c r="B554" s="364">
        <f t="shared" si="232"/>
        <v>87.603250000000003</v>
      </c>
      <c r="C554" s="337">
        <f t="shared" si="213"/>
        <v>173.86217391507427</v>
      </c>
      <c r="D554" s="338">
        <f t="shared" si="214"/>
        <v>1.5650446127146838</v>
      </c>
      <c r="E554" s="338">
        <f t="shared" si="215"/>
        <v>1.0086878079580446</v>
      </c>
      <c r="F554" s="339">
        <f t="shared" si="216"/>
        <v>0.13134209090694887</v>
      </c>
      <c r="G554" s="338">
        <f t="shared" si="217"/>
        <v>1</v>
      </c>
      <c r="H554" s="339">
        <f t="shared" si="218"/>
        <v>0</v>
      </c>
      <c r="I554" s="337">
        <f t="shared" si="219"/>
        <v>16572.48333987315</v>
      </c>
      <c r="J554" s="340">
        <f t="shared" si="220"/>
        <v>1.5707359858079668</v>
      </c>
      <c r="K554" s="348">
        <f t="shared" si="236"/>
        <v>15.657500732942024</v>
      </c>
      <c r="L554" s="349">
        <f t="shared" si="237"/>
        <v>1.506885674416337</v>
      </c>
      <c r="M554" s="337">
        <f t="shared" si="221"/>
        <v>1.0221523812680282</v>
      </c>
      <c r="N554" s="340">
        <f t="shared" si="222"/>
        <v>0.20857145252598142</v>
      </c>
      <c r="O554" s="341">
        <f t="shared" si="223"/>
        <v>0.99810578367704328</v>
      </c>
      <c r="P554" s="342">
        <f t="shared" si="224"/>
        <v>0.1076724731620035</v>
      </c>
      <c r="Q554" s="343">
        <f t="shared" si="225"/>
        <v>-3.3649574891889511</v>
      </c>
      <c r="R554" s="344">
        <f t="shared" si="226"/>
        <v>-103.92289929750214</v>
      </c>
      <c r="S554" s="346">
        <f t="shared" si="227"/>
        <v>76.077100702497859</v>
      </c>
      <c r="U554" s="319">
        <f t="shared" si="233"/>
        <v>87603.25</v>
      </c>
      <c r="V554" s="319">
        <f t="shared" si="234"/>
        <v>7674329410.5625</v>
      </c>
      <c r="X554" s="345">
        <f t="shared" si="228"/>
        <v>37.023608498063773</v>
      </c>
      <c r="Y554" s="346">
        <f t="shared" si="229"/>
        <v>-15.60861733782386</v>
      </c>
      <c r="AA554" s="345">
        <f t="shared" si="230"/>
        <v>16.409481025664036</v>
      </c>
      <c r="AB554" s="346">
        <f t="shared" si="231"/>
        <v>-88.314281959678283</v>
      </c>
      <c r="AD554">
        <f t="shared" si="235"/>
        <v>0</v>
      </c>
      <c r="AE554">
        <f t="shared" si="238"/>
        <v>0</v>
      </c>
    </row>
    <row r="555" spans="1:31" x14ac:dyDescent="0.2">
      <c r="A555" s="347">
        <v>88110.5</v>
      </c>
      <c r="B555" s="364">
        <f t="shared" si="232"/>
        <v>88.110500000000002</v>
      </c>
      <c r="C555" s="337">
        <f t="shared" si="213"/>
        <v>174.86885664174673</v>
      </c>
      <c r="D555" s="338">
        <f t="shared" si="214"/>
        <v>1.5650777244684024</v>
      </c>
      <c r="E555" s="338">
        <f t="shared" si="215"/>
        <v>1.0087882699137589</v>
      </c>
      <c r="F555" s="339">
        <f t="shared" si="216"/>
        <v>0.13209381143643514</v>
      </c>
      <c r="G555" s="338">
        <f t="shared" si="217"/>
        <v>1</v>
      </c>
      <c r="H555" s="339">
        <f t="shared" si="218"/>
        <v>0</v>
      </c>
      <c r="I555" s="337">
        <f t="shared" si="219"/>
        <v>16668.443160355044</v>
      </c>
      <c r="J555" s="340">
        <f t="shared" si="220"/>
        <v>1.5707363331895563</v>
      </c>
      <c r="K555" s="348">
        <f t="shared" si="236"/>
        <v>15.747793770110329</v>
      </c>
      <c r="L555" s="349">
        <f t="shared" si="237"/>
        <v>1.5072526140055573</v>
      </c>
      <c r="M555" s="337">
        <f t="shared" si="221"/>
        <v>1.0224068427005959</v>
      </c>
      <c r="N555" s="340">
        <f t="shared" si="222"/>
        <v>0.20974413299763409</v>
      </c>
      <c r="O555" s="341">
        <f t="shared" si="223"/>
        <v>0.99808410949514126</v>
      </c>
      <c r="P555" s="342">
        <f t="shared" si="224"/>
        <v>0.10830073297324445</v>
      </c>
      <c r="Q555" s="343">
        <f t="shared" si="225"/>
        <v>-3.4164165655292527</v>
      </c>
      <c r="R555" s="344">
        <f t="shared" si="226"/>
        <v>-103.96390813864173</v>
      </c>
      <c r="S555" s="346">
        <f t="shared" si="227"/>
        <v>76.036091861358273</v>
      </c>
      <c r="U555" s="319">
        <f t="shared" si="233"/>
        <v>88110.5</v>
      </c>
      <c r="V555" s="319">
        <f t="shared" si="234"/>
        <v>7763460210.25</v>
      </c>
      <c r="X555" s="345">
        <f t="shared" si="228"/>
        <v>37.021243057566579</v>
      </c>
      <c r="Y555" s="346">
        <f t="shared" si="229"/>
        <v>-15.654802793320121</v>
      </c>
      <c r="AA555" s="345">
        <f t="shared" si="230"/>
        <v>16.360387389820932</v>
      </c>
      <c r="AB555" s="346">
        <f t="shared" si="231"/>
        <v>-88.309105345321598</v>
      </c>
      <c r="AD555">
        <f t="shared" si="235"/>
        <v>0</v>
      </c>
      <c r="AE555">
        <f t="shared" si="238"/>
        <v>0</v>
      </c>
    </row>
    <row r="556" spans="1:31" x14ac:dyDescent="0.2">
      <c r="A556" s="347">
        <v>88617.75</v>
      </c>
      <c r="B556" s="364">
        <f t="shared" si="232"/>
        <v>88.617750000000001</v>
      </c>
      <c r="C556" s="337">
        <f t="shared" si="213"/>
        <v>175.87553955794857</v>
      </c>
      <c r="D556" s="338">
        <f t="shared" si="214"/>
        <v>1.565110457169596</v>
      </c>
      <c r="E556" s="338">
        <f t="shared" si="215"/>
        <v>1.0088893018056206</v>
      </c>
      <c r="F556" s="339">
        <f t="shared" si="216"/>
        <v>0.13284538183340436</v>
      </c>
      <c r="G556" s="338">
        <f t="shared" si="217"/>
        <v>1</v>
      </c>
      <c r="H556" s="339">
        <f t="shared" si="218"/>
        <v>0</v>
      </c>
      <c r="I556" s="337">
        <f t="shared" si="219"/>
        <v>16764.402980838931</v>
      </c>
      <c r="J556" s="340">
        <f t="shared" si="220"/>
        <v>1.5707366765943058</v>
      </c>
      <c r="K556" s="348">
        <f t="shared" si="236"/>
        <v>15.838088903458511</v>
      </c>
      <c r="L556" s="349">
        <f t="shared" si="237"/>
        <v>1.507615369696554</v>
      </c>
      <c r="M556" s="337">
        <f t="shared" si="221"/>
        <v>1.02266270942527</v>
      </c>
      <c r="N556" s="340">
        <f t="shared" si="222"/>
        <v>0.21091622827914269</v>
      </c>
      <c r="O556" s="341">
        <f t="shared" si="223"/>
        <v>0.9980623177293183</v>
      </c>
      <c r="P556" s="342">
        <f t="shared" si="224"/>
        <v>0.10892907587664294</v>
      </c>
      <c r="Q556" s="343">
        <f t="shared" si="225"/>
        <v>-3.4675898672853069</v>
      </c>
      <c r="R556" s="344">
        <f t="shared" si="226"/>
        <v>-104.00511458738968</v>
      </c>
      <c r="S556" s="346">
        <f t="shared" si="227"/>
        <v>75.994885412610316</v>
      </c>
      <c r="U556" s="319">
        <f t="shared" si="233"/>
        <v>88617.75</v>
      </c>
      <c r="V556" s="319">
        <f t="shared" si="234"/>
        <v>7853105615.0625</v>
      </c>
      <c r="X556" s="345">
        <f t="shared" si="228"/>
        <v>37.018869692655748</v>
      </c>
      <c r="Y556" s="346">
        <f t="shared" si="229"/>
        <v>-15.701194211745113</v>
      </c>
      <c r="AA556" s="345">
        <f t="shared" si="230"/>
        <v>16.311587452975708</v>
      </c>
      <c r="AB556" s="346">
        <f t="shared" si="231"/>
        <v>-88.303920375644566</v>
      </c>
      <c r="AD556">
        <f t="shared" si="235"/>
        <v>0</v>
      </c>
      <c r="AE556">
        <f t="shared" si="238"/>
        <v>0</v>
      </c>
    </row>
    <row r="557" spans="1:31" x14ac:dyDescent="0.2">
      <c r="A557" s="347">
        <v>89125</v>
      </c>
      <c r="B557" s="364">
        <f t="shared" si="232"/>
        <v>89.125</v>
      </c>
      <c r="C557" s="337">
        <f t="shared" si="213"/>
        <v>176.8822226604438</v>
      </c>
      <c r="D557" s="338">
        <f t="shared" si="214"/>
        <v>1.5651428172900561</v>
      </c>
      <c r="E557" s="338">
        <f t="shared" si="215"/>
        <v>1.0089909034624245</v>
      </c>
      <c r="F557" s="339">
        <f t="shared" si="216"/>
        <v>0.13359680129402246</v>
      </c>
      <c r="G557" s="338">
        <f t="shared" si="217"/>
        <v>1</v>
      </c>
      <c r="H557" s="339">
        <f t="shared" si="218"/>
        <v>0</v>
      </c>
      <c r="I557" s="337">
        <f t="shared" si="219"/>
        <v>16860.362801324773</v>
      </c>
      <c r="J557" s="340">
        <f t="shared" si="220"/>
        <v>1.5707370160901171</v>
      </c>
      <c r="K557" s="348">
        <f t="shared" si="236"/>
        <v>15.928386097337981</v>
      </c>
      <c r="L557" s="349">
        <f t="shared" si="237"/>
        <v>1.5079740125479397</v>
      </c>
      <c r="M557" s="337">
        <f t="shared" si="221"/>
        <v>1.022919980387518</v>
      </c>
      <c r="N557" s="340">
        <f t="shared" si="222"/>
        <v>0.21208773559038155</v>
      </c>
      <c r="O557" s="341">
        <f t="shared" si="223"/>
        <v>0.99804040851053955</v>
      </c>
      <c r="P557" s="342">
        <f t="shared" si="224"/>
        <v>0.10955750234768981</v>
      </c>
      <c r="Q557" s="343">
        <f t="shared" si="225"/>
        <v>-3.5184807450377216</v>
      </c>
      <c r="R557" s="344">
        <f t="shared" si="226"/>
        <v>-104.04651486109465</v>
      </c>
      <c r="S557" s="346">
        <f t="shared" si="227"/>
        <v>75.95348513890535</v>
      </c>
      <c r="U557" s="319">
        <f t="shared" si="233"/>
        <v>89125</v>
      </c>
      <c r="V557" s="319">
        <f t="shared" si="234"/>
        <v>7943265625</v>
      </c>
      <c r="X557" s="345">
        <f t="shared" si="228"/>
        <v>37.016488342388442</v>
      </c>
      <c r="Y557" s="346">
        <f t="shared" si="229"/>
        <v>-15.747787366341276</v>
      </c>
      <c r="AA557" s="345">
        <f t="shared" si="230"/>
        <v>16.263077925490602</v>
      </c>
      <c r="AB557" s="346">
        <f t="shared" si="231"/>
        <v>-88.298727494753393</v>
      </c>
      <c r="AD557">
        <f t="shared" si="235"/>
        <v>0</v>
      </c>
      <c r="AE557">
        <f t="shared" si="238"/>
        <v>0</v>
      </c>
    </row>
    <row r="558" spans="1:31" x14ac:dyDescent="0.2">
      <c r="A558" s="347">
        <v>89644</v>
      </c>
      <c r="B558" s="364">
        <f t="shared" si="232"/>
        <v>89.644000000000005</v>
      </c>
      <c r="C558" s="337">
        <f t="shared" si="213"/>
        <v>177.91222488090321</v>
      </c>
      <c r="D558" s="338">
        <f t="shared" si="214"/>
        <v>1.5651755479742473</v>
      </c>
      <c r="E558" s="338">
        <f t="shared" si="215"/>
        <v>1.0090954481676739</v>
      </c>
      <c r="F558" s="339">
        <f t="shared" si="216"/>
        <v>0.13436546966673196</v>
      </c>
      <c r="G558" s="338">
        <f t="shared" si="217"/>
        <v>1</v>
      </c>
      <c r="H558" s="339">
        <f t="shared" si="218"/>
        <v>0</v>
      </c>
      <c r="I558" s="337">
        <f t="shared" si="219"/>
        <v>16958.545446634107</v>
      </c>
      <c r="J558" s="340">
        <f t="shared" si="220"/>
        <v>1.5707373594734524</v>
      </c>
      <c r="K558" s="348">
        <f t="shared" si="236"/>
        <v>16.020777042615546</v>
      </c>
      <c r="L558" s="349">
        <f t="shared" si="237"/>
        <v>1.5083367786354009</v>
      </c>
      <c r="M558" s="337">
        <f t="shared" si="221"/>
        <v>1.0231846631066404</v>
      </c>
      <c r="N558" s="340">
        <f t="shared" si="222"/>
        <v>0.21328576839013197</v>
      </c>
      <c r="O558" s="341">
        <f t="shared" si="223"/>
        <v>0.99801787035587519</v>
      </c>
      <c r="P558" s="342">
        <f t="shared" si="224"/>
        <v>0.11020057275469272</v>
      </c>
      <c r="Q558" s="343">
        <f t="shared" si="225"/>
        <v>-3.5702615859079239</v>
      </c>
      <c r="R558" s="344">
        <f t="shared" si="226"/>
        <v>-104.0890708896554</v>
      </c>
      <c r="S558" s="346">
        <f t="shared" si="227"/>
        <v>75.910929110344597</v>
      </c>
      <c r="U558" s="319">
        <f t="shared" si="233"/>
        <v>89644</v>
      </c>
      <c r="V558" s="319">
        <f t="shared" si="234"/>
        <v>8036046736</v>
      </c>
      <c r="X558" s="345">
        <f t="shared" si="228"/>
        <v>37.01404350410548</v>
      </c>
      <c r="Y558" s="346">
        <f t="shared" si="229"/>
        <v>-15.795664298193783</v>
      </c>
      <c r="AA558" s="345">
        <f t="shared" si="230"/>
        <v>16.21374192290336</v>
      </c>
      <c r="AB558" s="346">
        <f t="shared" si="231"/>
        <v>-88.293406591461618</v>
      </c>
      <c r="AD558">
        <f t="shared" si="235"/>
        <v>0</v>
      </c>
      <c r="AE558">
        <f t="shared" si="238"/>
        <v>0</v>
      </c>
    </row>
    <row r="559" spans="1:31" x14ac:dyDescent="0.2">
      <c r="A559" s="347">
        <v>90163</v>
      </c>
      <c r="B559" s="364">
        <f t="shared" si="232"/>
        <v>90.162999999999997</v>
      </c>
      <c r="C559" s="337">
        <f t="shared" si="213"/>
        <v>178.94222728976538</v>
      </c>
      <c r="D559" s="338">
        <f t="shared" si="214"/>
        <v>1.5652079018588314</v>
      </c>
      <c r="E559" s="338">
        <f t="shared" si="215"/>
        <v>1.0092005889743125</v>
      </c>
      <c r="F559" s="339">
        <f t="shared" si="216"/>
        <v>0.13513397833020757</v>
      </c>
      <c r="G559" s="338">
        <f t="shared" si="217"/>
        <v>1</v>
      </c>
      <c r="H559" s="339">
        <f t="shared" si="218"/>
        <v>0</v>
      </c>
      <c r="I559" s="337">
        <f t="shared" si="219"/>
        <v>17056.728091945417</v>
      </c>
      <c r="J559" s="340">
        <f t="shared" si="220"/>
        <v>1.5707376989035928</v>
      </c>
      <c r="K559" s="348">
        <f t="shared" si="236"/>
        <v>16.113170072037217</v>
      </c>
      <c r="L559" s="349">
        <f t="shared" si="237"/>
        <v>1.5086953845630602</v>
      </c>
      <c r="M559" s="337">
        <f t="shared" si="221"/>
        <v>1.023450813624075</v>
      </c>
      <c r="N559" s="340">
        <f t="shared" si="222"/>
        <v>0.21448317980590953</v>
      </c>
      <c r="O559" s="341">
        <f t="shared" si="223"/>
        <v>0.99799520952368204</v>
      </c>
      <c r="P559" s="342">
        <f t="shared" si="224"/>
        <v>0.11084373165263306</v>
      </c>
      <c r="Q559" s="343">
        <f t="shared" si="225"/>
        <v>-3.6217536784129969</v>
      </c>
      <c r="R559" s="344">
        <f t="shared" si="226"/>
        <v>-104.13182208042977</v>
      </c>
      <c r="S559" s="346">
        <f t="shared" si="227"/>
        <v>75.868177919570229</v>
      </c>
      <c r="U559" s="319">
        <f t="shared" si="233"/>
        <v>90163</v>
      </c>
      <c r="V559" s="319">
        <f t="shared" si="234"/>
        <v>8129366569</v>
      </c>
      <c r="X559" s="345">
        <f t="shared" si="228"/>
        <v>37.011590184385241</v>
      </c>
      <c r="Y559" s="346">
        <f t="shared" si="229"/>
        <v>-15.8437437604648</v>
      </c>
      <c r="AA559" s="345">
        <f t="shared" si="230"/>
        <v>16.164703150118523</v>
      </c>
      <c r="AB559" s="346">
        <f t="shared" si="231"/>
        <v>-88.288078319964924</v>
      </c>
      <c r="AD559">
        <f t="shared" si="235"/>
        <v>0</v>
      </c>
      <c r="AE559">
        <f t="shared" si="238"/>
        <v>0</v>
      </c>
    </row>
    <row r="560" spans="1:31" x14ac:dyDescent="0.2">
      <c r="A560" s="347">
        <v>90682</v>
      </c>
      <c r="B560" s="364">
        <f t="shared" si="232"/>
        <v>90.682000000000002</v>
      </c>
      <c r="C560" s="337">
        <f t="shared" si="213"/>
        <v>179.97222988379559</v>
      </c>
      <c r="D560" s="338">
        <f t="shared" si="214"/>
        <v>1.5652398854131473</v>
      </c>
      <c r="E560" s="338">
        <f t="shared" si="215"/>
        <v>1.0093063256960502</v>
      </c>
      <c r="F560" s="339">
        <f t="shared" si="216"/>
        <v>0.13590232642673214</v>
      </c>
      <c r="G560" s="338">
        <f t="shared" si="217"/>
        <v>1</v>
      </c>
      <c r="H560" s="339">
        <f t="shared" si="218"/>
        <v>0</v>
      </c>
      <c r="I560" s="337">
        <f t="shared" si="219"/>
        <v>17154.91073725867</v>
      </c>
      <c r="J560" s="340">
        <f t="shared" si="220"/>
        <v>1.5707380344484145</v>
      </c>
      <c r="K560" s="348">
        <f t="shared" si="236"/>
        <v>16.205565149955916</v>
      </c>
      <c r="L560" s="349">
        <f t="shared" si="237"/>
        <v>1.5090499013946077</v>
      </c>
      <c r="M560" s="337">
        <f t="shared" si="221"/>
        <v>1.0237184307950087</v>
      </c>
      <c r="N560" s="340">
        <f t="shared" si="222"/>
        <v>0.21567996689002572</v>
      </c>
      <c r="O560" s="341">
        <f t="shared" si="223"/>
        <v>0.99797242615672987</v>
      </c>
      <c r="P560" s="342">
        <f t="shared" si="224"/>
        <v>0.11148697955063931</v>
      </c>
      <c r="Q560" s="343">
        <f t="shared" si="225"/>
        <v>-3.672960426633531</v>
      </c>
      <c r="R560" s="344">
        <f t="shared" si="226"/>
        <v>-104.1747646457473</v>
      </c>
      <c r="S560" s="346">
        <f t="shared" si="227"/>
        <v>75.825235354252698</v>
      </c>
      <c r="U560" s="319">
        <f t="shared" si="233"/>
        <v>90682</v>
      </c>
      <c r="V560" s="319">
        <f t="shared" si="234"/>
        <v>8223225124</v>
      </c>
      <c r="X560" s="345">
        <f t="shared" si="228"/>
        <v>37.00912832511915</v>
      </c>
      <c r="Y560" s="346">
        <f t="shared" si="229"/>
        <v>-15.892021516503695</v>
      </c>
      <c r="AA560" s="345">
        <f t="shared" si="230"/>
        <v>16.115958261164081</v>
      </c>
      <c r="AB560" s="346">
        <f t="shared" si="231"/>
        <v>-88.282743129243627</v>
      </c>
      <c r="AD560">
        <f t="shared" si="235"/>
        <v>0</v>
      </c>
      <c r="AE560">
        <f t="shared" si="238"/>
        <v>0</v>
      </c>
    </row>
    <row r="561" spans="1:31" x14ac:dyDescent="0.2">
      <c r="A561" s="347">
        <v>91201</v>
      </c>
      <c r="B561" s="364">
        <f t="shared" si="232"/>
        <v>91.200999999999993</v>
      </c>
      <c r="C561" s="337">
        <f t="shared" si="213"/>
        <v>181.00223265983271</v>
      </c>
      <c r="D561" s="338">
        <f t="shared" si="214"/>
        <v>1.5652715049592814</v>
      </c>
      <c r="E561" s="338">
        <f t="shared" si="215"/>
        <v>1.0094126581456191</v>
      </c>
      <c r="F561" s="339">
        <f t="shared" si="216"/>
        <v>0.13667051309970524</v>
      </c>
      <c r="G561" s="338">
        <f t="shared" si="217"/>
        <v>1</v>
      </c>
      <c r="H561" s="339">
        <f t="shared" si="218"/>
        <v>0</v>
      </c>
      <c r="I561" s="337">
        <f t="shared" si="219"/>
        <v>17253.093382573836</v>
      </c>
      <c r="J561" s="340">
        <f t="shared" si="220"/>
        <v>1.5707383661742482</v>
      </c>
      <c r="K561" s="348">
        <f t="shared" si="236"/>
        <v>16.297962241532122</v>
      </c>
      <c r="L561" s="349">
        <f t="shared" si="237"/>
        <v>1.5094003985863895</v>
      </c>
      <c r="M561" s="337">
        <f t="shared" si="221"/>
        <v>1.0239875134695204</v>
      </c>
      <c r="N561" s="340">
        <f t="shared" si="222"/>
        <v>0.21687612670501896</v>
      </c>
      <c r="O561" s="341">
        <f t="shared" si="223"/>
        <v>0.99794952039862894</v>
      </c>
      <c r="P561" s="342">
        <f t="shared" si="224"/>
        <v>0.11213031695777943</v>
      </c>
      <c r="Q561" s="343">
        <f t="shared" si="225"/>
        <v>-3.723885175208439</v>
      </c>
      <c r="R561" s="344">
        <f t="shared" si="226"/>
        <v>-104.21789488202486</v>
      </c>
      <c r="S561" s="346">
        <f t="shared" si="227"/>
        <v>75.782105117975135</v>
      </c>
      <c r="U561" s="319">
        <f t="shared" si="233"/>
        <v>91201</v>
      </c>
      <c r="V561" s="319">
        <f t="shared" si="234"/>
        <v>8317622401</v>
      </c>
      <c r="X561" s="345">
        <f t="shared" si="228"/>
        <v>37.006657870458511</v>
      </c>
      <c r="Y561" s="346">
        <f t="shared" si="229"/>
        <v>-15.940493422251283</v>
      </c>
      <c r="AA561" s="345">
        <f t="shared" si="230"/>
        <v>16.067503967249809</v>
      </c>
      <c r="AB561" s="346">
        <f t="shared" si="231"/>
        <v>-88.277401459773586</v>
      </c>
      <c r="AD561">
        <f t="shared" si="235"/>
        <v>0</v>
      </c>
      <c r="AE561">
        <f t="shared" si="238"/>
        <v>0</v>
      </c>
    </row>
    <row r="562" spans="1:31" x14ac:dyDescent="0.2">
      <c r="A562" s="347">
        <v>91732</v>
      </c>
      <c r="B562" s="364">
        <f t="shared" si="232"/>
        <v>91.731999999999999</v>
      </c>
      <c r="C562" s="337">
        <f t="shared" si="213"/>
        <v>182.05605071410352</v>
      </c>
      <c r="D562" s="338">
        <f t="shared" si="214"/>
        <v>1.5653034853065391</v>
      </c>
      <c r="E562" s="338">
        <f t="shared" si="215"/>
        <v>1.0095220655007555</v>
      </c>
      <c r="F562" s="339">
        <f t="shared" si="216"/>
        <v>0.13745629335685164</v>
      </c>
      <c r="G562" s="338">
        <f t="shared" si="217"/>
        <v>1</v>
      </c>
      <c r="H562" s="339">
        <f t="shared" si="218"/>
        <v>0</v>
      </c>
      <c r="I562" s="337">
        <f t="shared" si="219"/>
        <v>17353.546146857767</v>
      </c>
      <c r="J562" s="340">
        <f t="shared" si="220"/>
        <v>1.5707387016851875</v>
      </c>
      <c r="K562" s="348">
        <f t="shared" si="236"/>
        <v>16.392497730568227</v>
      </c>
      <c r="L562" s="349">
        <f t="shared" si="237"/>
        <v>1.5097549104351449</v>
      </c>
      <c r="M562" s="337">
        <f t="shared" si="221"/>
        <v>1.0242643332261638</v>
      </c>
      <c r="N562" s="340">
        <f t="shared" si="222"/>
        <v>0.21809929114976326</v>
      </c>
      <c r="O562" s="341">
        <f t="shared" si="223"/>
        <v>0.99792595850963695</v>
      </c>
      <c r="P562" s="342">
        <f t="shared" si="224"/>
        <v>0.11278862238654264</v>
      </c>
      <c r="Q562" s="343">
        <f t="shared" si="225"/>
        <v>-3.775698946563828</v>
      </c>
      <c r="R562" s="344">
        <f t="shared" si="226"/>
        <v>-104.26221280231428</v>
      </c>
      <c r="S562" s="346">
        <f t="shared" si="227"/>
        <v>75.737787197685719</v>
      </c>
      <c r="U562" s="319">
        <f t="shared" si="233"/>
        <v>91732</v>
      </c>
      <c r="V562" s="319">
        <f t="shared" si="234"/>
        <v>8414759824</v>
      </c>
      <c r="X562" s="345">
        <f t="shared" si="228"/>
        <v>37.004121343707041</v>
      </c>
      <c r="Y562" s="346">
        <f t="shared" si="229"/>
        <v>-15.990282773282221</v>
      </c>
      <c r="AA562" s="345">
        <f t="shared" si="230"/>
        <v>16.018226722645895</v>
      </c>
      <c r="AB562" s="346">
        <f t="shared" si="231"/>
        <v>-88.271930029032049</v>
      </c>
      <c r="AD562">
        <f t="shared" si="235"/>
        <v>0</v>
      </c>
      <c r="AE562">
        <f t="shared" si="238"/>
        <v>0</v>
      </c>
    </row>
    <row r="563" spans="1:31" x14ac:dyDescent="0.2">
      <c r="A563" s="347">
        <v>92263</v>
      </c>
      <c r="B563" s="364">
        <f t="shared" si="232"/>
        <v>92.263000000000005</v>
      </c>
      <c r="C563" s="337">
        <f t="shared" si="213"/>
        <v>183.10986895242766</v>
      </c>
      <c r="D563" s="338">
        <f t="shared" si="214"/>
        <v>1.5653350975527165</v>
      </c>
      <c r="E563" s="338">
        <f t="shared" si="215"/>
        <v>1.0096320960505925</v>
      </c>
      <c r="F563" s="339">
        <f t="shared" si="216"/>
        <v>0.13824190282900659</v>
      </c>
      <c r="G563" s="338">
        <f t="shared" si="217"/>
        <v>1</v>
      </c>
      <c r="H563" s="339">
        <f t="shared" si="218"/>
        <v>0</v>
      </c>
      <c r="I563" s="337">
        <f t="shared" si="219"/>
        <v>17453.998911143623</v>
      </c>
      <c r="J563" s="340">
        <f t="shared" si="220"/>
        <v>1.5707390333342039</v>
      </c>
      <c r="K563" s="348">
        <f t="shared" si="236"/>
        <v>16.487035256165242</v>
      </c>
      <c r="L563" s="349">
        <f t="shared" si="237"/>
        <v>1.5101053567484242</v>
      </c>
      <c r="M563" s="337">
        <f t="shared" si="221"/>
        <v>1.0245426845872643</v>
      </c>
      <c r="N563" s="340">
        <f t="shared" si="222"/>
        <v>0.21932179279546501</v>
      </c>
      <c r="O563" s="341">
        <f t="shared" si="223"/>
        <v>0.99790226881118593</v>
      </c>
      <c r="P563" s="342">
        <f t="shared" si="224"/>
        <v>0.11344702258932836</v>
      </c>
      <c r="Q563" s="343">
        <f t="shared" si="225"/>
        <v>-3.8272244255475361</v>
      </c>
      <c r="R563" s="344">
        <f t="shared" si="226"/>
        <v>-104.30671958854087</v>
      </c>
      <c r="S563" s="346">
        <f t="shared" si="227"/>
        <v>75.693280411459128</v>
      </c>
      <c r="U563" s="319">
        <f t="shared" si="233"/>
        <v>92263</v>
      </c>
      <c r="V563" s="319">
        <f t="shared" si="234"/>
        <v>8512461169</v>
      </c>
      <c r="X563" s="345">
        <f t="shared" si="228"/>
        <v>37.001575708144657</v>
      </c>
      <c r="Y563" s="346">
        <f t="shared" si="229"/>
        <v>-16.040266865477943</v>
      </c>
      <c r="AA563" s="345">
        <f t="shared" si="230"/>
        <v>15.969246879224567</v>
      </c>
      <c r="AB563" s="346">
        <f t="shared" si="231"/>
        <v>-88.266452723062883</v>
      </c>
      <c r="AD563">
        <f t="shared" si="235"/>
        <v>0</v>
      </c>
      <c r="AE563">
        <f t="shared" si="238"/>
        <v>0</v>
      </c>
    </row>
    <row r="564" spans="1:31" x14ac:dyDescent="0.2">
      <c r="A564" s="347">
        <v>92794</v>
      </c>
      <c r="B564" s="364">
        <f t="shared" si="232"/>
        <v>92.793999999999997</v>
      </c>
      <c r="C564" s="337">
        <f t="shared" si="213"/>
        <v>184.16368737164555</v>
      </c>
      <c r="D564" s="338">
        <f t="shared" si="214"/>
        <v>1.5653663480167759</v>
      </c>
      <c r="E564" s="338">
        <f t="shared" si="215"/>
        <v>1.0097427495914035</v>
      </c>
      <c r="F564" s="339">
        <f t="shared" si="216"/>
        <v>0.13902734060243166</v>
      </c>
      <c r="G564" s="338">
        <f t="shared" si="217"/>
        <v>1</v>
      </c>
      <c r="H564" s="339">
        <f t="shared" si="218"/>
        <v>0</v>
      </c>
      <c r="I564" s="337">
        <f t="shared" si="219"/>
        <v>17554.451675431381</v>
      </c>
      <c r="J564" s="340">
        <f t="shared" si="220"/>
        <v>1.5707393611875948</v>
      </c>
      <c r="K564" s="348">
        <f t="shared" si="236"/>
        <v>16.581574783489682</v>
      </c>
      <c r="L564" s="349">
        <f t="shared" si="237"/>
        <v>1.5104518069781194</v>
      </c>
      <c r="M564" s="337">
        <f t="shared" si="221"/>
        <v>1.0248225663048274</v>
      </c>
      <c r="N564" s="340">
        <f t="shared" si="222"/>
        <v>0.22054362852960369</v>
      </c>
      <c r="O564" s="341">
        <f t="shared" si="223"/>
        <v>0.99787845145981247</v>
      </c>
      <c r="P564" s="342">
        <f t="shared" si="224"/>
        <v>0.11410551811113838</v>
      </c>
      <c r="Q564" s="343">
        <f t="shared" si="225"/>
        <v>-3.8784650098430329</v>
      </c>
      <c r="R564" s="344">
        <f t="shared" si="226"/>
        <v>-104.35141153249802</v>
      </c>
      <c r="S564" s="346">
        <f t="shared" si="227"/>
        <v>75.64858846750198</v>
      </c>
      <c r="U564" s="319">
        <f t="shared" si="233"/>
        <v>92794</v>
      </c>
      <c r="V564" s="319">
        <f t="shared" si="234"/>
        <v>8610726436</v>
      </c>
      <c r="X564" s="345">
        <f t="shared" si="228"/>
        <v>36.999020910829785</v>
      </c>
      <c r="Y564" s="346">
        <f t="shared" si="229"/>
        <v>-16.09044154500241</v>
      </c>
      <c r="AA564" s="345">
        <f t="shared" si="230"/>
        <v>15.92056109224394</v>
      </c>
      <c r="AB564" s="346">
        <f t="shared" si="231"/>
        <v>-88.260969987495628</v>
      </c>
      <c r="AD564">
        <f t="shared" si="235"/>
        <v>0</v>
      </c>
      <c r="AE564">
        <f t="shared" si="238"/>
        <v>0</v>
      </c>
    </row>
    <row r="565" spans="1:31" x14ac:dyDescent="0.2">
      <c r="A565" s="347">
        <v>93325</v>
      </c>
      <c r="B565" s="364">
        <f t="shared" si="232"/>
        <v>93.325000000000003</v>
      </c>
      <c r="C565" s="337">
        <f t="shared" si="213"/>
        <v>185.21750596866957</v>
      </c>
      <c r="D565" s="338">
        <f t="shared" si="214"/>
        <v>1.5653972428738721</v>
      </c>
      <c r="E565" s="338">
        <f t="shared" si="215"/>
        <v>1.0098540259183983</v>
      </c>
      <c r="F565" s="339">
        <f t="shared" si="216"/>
        <v>0.13981260576463511</v>
      </c>
      <c r="G565" s="338">
        <f t="shared" si="217"/>
        <v>1</v>
      </c>
      <c r="H565" s="339">
        <f t="shared" si="218"/>
        <v>0</v>
      </c>
      <c r="I565" s="337">
        <f t="shared" si="219"/>
        <v>17654.904439721009</v>
      </c>
      <c r="J565" s="340">
        <f t="shared" si="220"/>
        <v>1.5707396853101494</v>
      </c>
      <c r="K565" s="348">
        <f t="shared" si="236"/>
        <v>16.676116278497215</v>
      </c>
      <c r="L565" s="349">
        <f t="shared" si="237"/>
        <v>1.5107943290050425</v>
      </c>
      <c r="M565" s="337">
        <f t="shared" si="221"/>
        <v>1.0251039771253645</v>
      </c>
      <c r="N565" s="340">
        <f t="shared" si="222"/>
        <v>0.22176479525100154</v>
      </c>
      <c r="O565" s="341">
        <f t="shared" si="223"/>
        <v>0.99785450661297537</v>
      </c>
      <c r="P565" s="342">
        <f t="shared" si="224"/>
        <v>0.11476410949690595</v>
      </c>
      <c r="Q565" s="343">
        <f t="shared" si="225"/>
        <v>-3.9294240378245919</v>
      </c>
      <c r="R565" s="344">
        <f t="shared" si="226"/>
        <v>-104.39628500824421</v>
      </c>
      <c r="S565" s="346">
        <f t="shared" si="227"/>
        <v>75.603714991755794</v>
      </c>
      <c r="U565" s="319">
        <f t="shared" si="233"/>
        <v>93325</v>
      </c>
      <c r="V565" s="319">
        <f t="shared" si="234"/>
        <v>8709555625</v>
      </c>
      <c r="X565" s="345">
        <f t="shared" si="228"/>
        <v>36.996456900987496</v>
      </c>
      <c r="Y565" s="346">
        <f t="shared" si="229"/>
        <v>-16.140802748599349</v>
      </c>
      <c r="AA565" s="345">
        <f t="shared" si="230"/>
        <v>15.872166074104673</v>
      </c>
      <c r="AB565" s="346">
        <f t="shared" si="231"/>
        <v>-88.25548225964485</v>
      </c>
      <c r="AD565">
        <f t="shared" si="235"/>
        <v>0</v>
      </c>
      <c r="AE565">
        <f t="shared" si="238"/>
        <v>0</v>
      </c>
    </row>
    <row r="566" spans="1:31" x14ac:dyDescent="0.2">
      <c r="A566" s="347">
        <v>93868.5</v>
      </c>
      <c r="B566" s="364">
        <f t="shared" si="232"/>
        <v>93.868499999999997</v>
      </c>
      <c r="C566" s="337">
        <f t="shared" si="213"/>
        <v>186.29613215244609</v>
      </c>
      <c r="D566" s="338">
        <f t="shared" si="214"/>
        <v>1.5654285030472026</v>
      </c>
      <c r="E566" s="338">
        <f t="shared" si="215"/>
        <v>1.0099685664795397</v>
      </c>
      <c r="F566" s="339">
        <f t="shared" si="216"/>
        <v>0.14061617674811325</v>
      </c>
      <c r="G566" s="338">
        <f t="shared" si="217"/>
        <v>1</v>
      </c>
      <c r="H566" s="339">
        <f t="shared" si="218"/>
        <v>0</v>
      </c>
      <c r="I566" s="337">
        <f t="shared" si="219"/>
        <v>17757.721911269822</v>
      </c>
      <c r="J566" s="340">
        <f t="shared" si="220"/>
        <v>1.5707400132651812</v>
      </c>
      <c r="K566" s="348">
        <f t="shared" si="236"/>
        <v>16.772885329569934</v>
      </c>
      <c r="L566" s="349">
        <f t="shared" si="237"/>
        <v>1.511140915414551</v>
      </c>
      <c r="M566" s="337">
        <f t="shared" si="221"/>
        <v>1.0253935947007859</v>
      </c>
      <c r="N566" s="340">
        <f t="shared" si="222"/>
        <v>0.22301401278871705</v>
      </c>
      <c r="O566" s="341">
        <f t="shared" si="223"/>
        <v>0.99782986622528091</v>
      </c>
      <c r="P566" s="342">
        <f t="shared" si="224"/>
        <v>0.11543830429059651</v>
      </c>
      <c r="Q566" s="343">
        <f t="shared" si="225"/>
        <v>-3.9812945134737849</v>
      </c>
      <c r="R566" s="344">
        <f t="shared" si="226"/>
        <v>-104.44239911919385</v>
      </c>
      <c r="S566" s="346">
        <f t="shared" si="227"/>
        <v>75.557600880806149</v>
      </c>
      <c r="U566" s="319">
        <f t="shared" si="233"/>
        <v>93868.5</v>
      </c>
      <c r="V566" s="319">
        <f t="shared" si="234"/>
        <v>8811295292.25</v>
      </c>
      <c r="X566" s="345">
        <f t="shared" si="228"/>
        <v>36.993822941922375</v>
      </c>
      <c r="Y566" s="346">
        <f t="shared" si="229"/>
        <v>-16.192538493201052</v>
      </c>
      <c r="AA566" s="345">
        <f t="shared" si="230"/>
        <v>15.822929557520602</v>
      </c>
      <c r="AB566" s="346">
        <f t="shared" si="231"/>
        <v>-88.24986062599281</v>
      </c>
      <c r="AD566">
        <f t="shared" si="235"/>
        <v>0</v>
      </c>
      <c r="AE566">
        <f t="shared" si="238"/>
        <v>0</v>
      </c>
    </row>
    <row r="567" spans="1:31" x14ac:dyDescent="0.2">
      <c r="A567" s="347">
        <v>94412</v>
      </c>
      <c r="B567" s="364">
        <f t="shared" si="232"/>
        <v>94.412000000000006</v>
      </c>
      <c r="C567" s="337">
        <f t="shared" si="213"/>
        <v>187.37475851617501</v>
      </c>
      <c r="D567" s="338">
        <f t="shared" si="214"/>
        <v>1.5654594033209976</v>
      </c>
      <c r="E567" s="338">
        <f t="shared" si="215"/>
        <v>1.01008375905582</v>
      </c>
      <c r="F567" s="339">
        <f t="shared" si="216"/>
        <v>0.14141956496761637</v>
      </c>
      <c r="G567" s="338">
        <f t="shared" si="217"/>
        <v>1</v>
      </c>
      <c r="H567" s="339">
        <f t="shared" si="218"/>
        <v>0</v>
      </c>
      <c r="I567" s="337">
        <f t="shared" si="219"/>
        <v>17860.53938282052</v>
      </c>
      <c r="J567" s="340">
        <f t="shared" si="220"/>
        <v>1.5707403374443463</v>
      </c>
      <c r="K567" s="348">
        <f t="shared" si="236"/>
        <v>16.869656372322531</v>
      </c>
      <c r="L567" s="349">
        <f t="shared" si="237"/>
        <v>1.5114835255504842</v>
      </c>
      <c r="M567" s="337">
        <f t="shared" si="221"/>
        <v>1.0256848115433754</v>
      </c>
      <c r="N567" s="340">
        <f t="shared" si="222"/>
        <v>0.22426252290743751</v>
      </c>
      <c r="O567" s="341">
        <f t="shared" si="223"/>
        <v>0.99780509260562067</v>
      </c>
      <c r="P567" s="342">
        <f t="shared" si="224"/>
        <v>0.11611260066973614</v>
      </c>
      <c r="Q567" s="343">
        <f t="shared" si="225"/>
        <v>-4.0328769134930651</v>
      </c>
      <c r="R567" s="344">
        <f t="shared" si="226"/>
        <v>-104.48869597667122</v>
      </c>
      <c r="S567" s="346">
        <f t="shared" si="227"/>
        <v>75.511304023328776</v>
      </c>
      <c r="U567" s="319">
        <f t="shared" si="233"/>
        <v>94412</v>
      </c>
      <c r="V567" s="319">
        <f t="shared" si="234"/>
        <v>8913625744</v>
      </c>
      <c r="X567" s="345">
        <f t="shared" si="228"/>
        <v>36.991179230500798</v>
      </c>
      <c r="Y567" s="346">
        <f t="shared" si="229"/>
        <v>-16.244461313033035</v>
      </c>
      <c r="AA567" s="345">
        <f t="shared" si="230"/>
        <v>15.773990868922898</v>
      </c>
      <c r="AB567" s="346">
        <f t="shared" si="231"/>
        <v>-88.244234663638238</v>
      </c>
      <c r="AD567">
        <f t="shared" si="235"/>
        <v>0</v>
      </c>
      <c r="AE567">
        <f t="shared" si="238"/>
        <v>0</v>
      </c>
    </row>
    <row r="568" spans="1:31" x14ac:dyDescent="0.2">
      <c r="A568" s="347">
        <v>94955.5</v>
      </c>
      <c r="B568" s="364">
        <f t="shared" si="232"/>
        <v>94.955500000000001</v>
      </c>
      <c r="C568" s="337">
        <f t="shared" si="213"/>
        <v>188.45338505676634</v>
      </c>
      <c r="D568" s="338">
        <f t="shared" si="214"/>
        <v>1.5654899498749304</v>
      </c>
      <c r="E568" s="338">
        <f t="shared" si="215"/>
        <v>1.010199603424192</v>
      </c>
      <c r="F568" s="339">
        <f t="shared" si="216"/>
        <v>0.14222276944877821</v>
      </c>
      <c r="G568" s="338">
        <f t="shared" si="217"/>
        <v>1</v>
      </c>
      <c r="H568" s="339">
        <f t="shared" si="218"/>
        <v>0</v>
      </c>
      <c r="I568" s="337">
        <f t="shared" si="219"/>
        <v>17963.356854373076</v>
      </c>
      <c r="J568" s="340">
        <f t="shared" si="220"/>
        <v>1.570740657912481</v>
      </c>
      <c r="K568" s="348">
        <f t="shared" si="236"/>
        <v>16.9664293726753</v>
      </c>
      <c r="L568" s="349">
        <f t="shared" si="237"/>
        <v>1.5118222273712372</v>
      </c>
      <c r="M568" s="337">
        <f t="shared" si="221"/>
        <v>1.0259776262913096</v>
      </c>
      <c r="N568" s="340">
        <f t="shared" si="222"/>
        <v>0.22551032231891616</v>
      </c>
      <c r="O568" s="341">
        <f t="shared" si="223"/>
        <v>0.99778018592584006</v>
      </c>
      <c r="P568" s="342">
        <f t="shared" si="224"/>
        <v>0.11678699921842826</v>
      </c>
      <c r="Q568" s="343">
        <f t="shared" si="225"/>
        <v>-4.0841746333923821</v>
      </c>
      <c r="R568" s="344">
        <f t="shared" si="226"/>
        <v>-104.53517194562232</v>
      </c>
      <c r="S568" s="346">
        <f t="shared" si="227"/>
        <v>75.464828054377676</v>
      </c>
      <c r="U568" s="319">
        <f t="shared" si="233"/>
        <v>94955.5</v>
      </c>
      <c r="V568" s="319">
        <f t="shared" si="234"/>
        <v>9016546980.25</v>
      </c>
      <c r="X568" s="345">
        <f t="shared" si="228"/>
        <v>36.988525718875245</v>
      </c>
      <c r="Y568" s="346">
        <f t="shared" si="229"/>
        <v>-16.296567129678245</v>
      </c>
      <c r="AA568" s="345">
        <f t="shared" si="230"/>
        <v>15.725346660649134</v>
      </c>
      <c r="AB568" s="346">
        <f t="shared" si="231"/>
        <v>-88.238604815944058</v>
      </c>
      <c r="AD568">
        <f t="shared" si="235"/>
        <v>0</v>
      </c>
      <c r="AE568">
        <f t="shared" si="238"/>
        <v>0</v>
      </c>
    </row>
    <row r="569" spans="1:31" x14ac:dyDescent="0.2">
      <c r="A569" s="347">
        <v>95499</v>
      </c>
      <c r="B569" s="364">
        <f t="shared" si="232"/>
        <v>95.498999999999995</v>
      </c>
      <c r="C569" s="337">
        <f t="shared" si="213"/>
        <v>189.53201177120056</v>
      </c>
      <c r="D569" s="338">
        <f t="shared" si="214"/>
        <v>1.5655201487480026</v>
      </c>
      <c r="E569" s="338">
        <f t="shared" si="215"/>
        <v>1.0103160993604496</v>
      </c>
      <c r="F569" s="339">
        <f t="shared" si="216"/>
        <v>0.1430257892186263</v>
      </c>
      <c r="G569" s="338">
        <f t="shared" si="217"/>
        <v>1</v>
      </c>
      <c r="H569" s="339">
        <f t="shared" si="218"/>
        <v>0</v>
      </c>
      <c r="I569" s="337">
        <f t="shared" si="219"/>
        <v>18066.174325927455</v>
      </c>
      <c r="J569" s="340">
        <f t="shared" si="220"/>
        <v>1.5707409747329453</v>
      </c>
      <c r="K569" s="348">
        <f t="shared" si="236"/>
        <v>17.063204297320993</v>
      </c>
      <c r="L569" s="349">
        <f t="shared" si="237"/>
        <v>1.51215708729712</v>
      </c>
      <c r="M569" s="337">
        <f t="shared" si="221"/>
        <v>1.0262720375768508</v>
      </c>
      <c r="N569" s="340">
        <f t="shared" si="222"/>
        <v>0.22675740774750125</v>
      </c>
      <c r="O569" s="341">
        <f t="shared" si="223"/>
        <v>0.9977551463587977</v>
      </c>
      <c r="P569" s="342">
        <f t="shared" si="224"/>
        <v>0.11746150052069848</v>
      </c>
      <c r="Q569" s="343">
        <f t="shared" si="225"/>
        <v>-4.1351910094037763</v>
      </c>
      <c r="R569" s="344">
        <f t="shared" si="226"/>
        <v>-104.58182347161153</v>
      </c>
      <c r="S569" s="346">
        <f t="shared" si="227"/>
        <v>75.418176528388472</v>
      </c>
      <c r="U569" s="319">
        <f t="shared" si="233"/>
        <v>95499</v>
      </c>
      <c r="V569" s="319">
        <f t="shared" si="234"/>
        <v>9120059001</v>
      </c>
      <c r="X569" s="345">
        <f t="shared" si="228"/>
        <v>36.985862361279544</v>
      </c>
      <c r="Y569" s="346">
        <f t="shared" si="229"/>
        <v>-16.348851953482502</v>
      </c>
      <c r="AA569" s="345">
        <f t="shared" si="230"/>
        <v>15.676993642233441</v>
      </c>
      <c r="AB569" s="346">
        <f t="shared" si="231"/>
        <v>-88.232971518129006</v>
      </c>
      <c r="AD569">
        <f t="shared" si="235"/>
        <v>0</v>
      </c>
      <c r="AE569">
        <f t="shared" si="238"/>
        <v>0</v>
      </c>
    </row>
    <row r="570" spans="1:31" x14ac:dyDescent="0.2">
      <c r="A570" s="347">
        <v>96611.5</v>
      </c>
      <c r="B570" s="364">
        <f t="shared" si="232"/>
        <v>96.611500000000007</v>
      </c>
      <c r="C570" s="337">
        <f t="shared" si="213"/>
        <v>191.73987287099396</v>
      </c>
      <c r="D570" s="338">
        <f t="shared" si="214"/>
        <v>1.5655809038446236</v>
      </c>
      <c r="E570" s="338">
        <f t="shared" si="215"/>
        <v>1.0105565879010332</v>
      </c>
      <c r="F570" s="339">
        <f t="shared" si="216"/>
        <v>0.14466892485036534</v>
      </c>
      <c r="G570" s="338">
        <f t="shared" si="217"/>
        <v>1</v>
      </c>
      <c r="H570" s="339">
        <f t="shared" si="218"/>
        <v>0</v>
      </c>
      <c r="I570" s="337">
        <f t="shared" si="219"/>
        <v>18276.633271846986</v>
      </c>
      <c r="J570" s="340">
        <f t="shared" si="220"/>
        <v>1.5707416121225812</v>
      </c>
      <c r="K570" s="348">
        <f t="shared" si="236"/>
        <v>17.261300509013864</v>
      </c>
      <c r="L570" s="349">
        <f t="shared" si="237"/>
        <v>1.5128308091166611</v>
      </c>
      <c r="M570" s="337">
        <f t="shared" si="221"/>
        <v>1.0268796462245864</v>
      </c>
      <c r="N570" s="340">
        <f t="shared" si="222"/>
        <v>0.22930784931879125</v>
      </c>
      <c r="O570" s="341">
        <f t="shared" si="223"/>
        <v>0.99770347875265153</v>
      </c>
      <c r="P570" s="342">
        <f t="shared" si="224"/>
        <v>0.11884247234319453</v>
      </c>
      <c r="Q570" s="343">
        <f t="shared" si="225"/>
        <v>-4.2387537408017009</v>
      </c>
      <c r="R570" s="344">
        <f t="shared" si="226"/>
        <v>-104.67784824337092</v>
      </c>
      <c r="S570" s="346">
        <f t="shared" si="227"/>
        <v>75.322151756629083</v>
      </c>
      <c r="U570" s="319">
        <f t="shared" si="233"/>
        <v>96611.5</v>
      </c>
      <c r="V570" s="319">
        <f t="shared" si="234"/>
        <v>9333781932.25</v>
      </c>
      <c r="X570" s="345">
        <f t="shared" si="228"/>
        <v>36.980379800807228</v>
      </c>
      <c r="Y570" s="346">
        <f t="shared" si="229"/>
        <v>-16.456416594445507</v>
      </c>
      <c r="AA570" s="345">
        <f t="shared" si="230"/>
        <v>15.578913471307834</v>
      </c>
      <c r="AB570" s="346">
        <f t="shared" si="231"/>
        <v>-88.221431648925403</v>
      </c>
      <c r="AD570">
        <f t="shared" si="235"/>
        <v>0</v>
      </c>
      <c r="AE570">
        <f t="shared" si="238"/>
        <v>0</v>
      </c>
    </row>
    <row r="571" spans="1:31" x14ac:dyDescent="0.2">
      <c r="A571" s="347">
        <v>97724</v>
      </c>
      <c r="B571" s="364">
        <f t="shared" si="232"/>
        <v>97.724000000000004</v>
      </c>
      <c r="C571" s="337">
        <f t="shared" si="213"/>
        <v>193.9477346624204</v>
      </c>
      <c r="D571" s="338">
        <f t="shared" si="214"/>
        <v>1.5656402756939916</v>
      </c>
      <c r="E571" s="338">
        <f t="shared" si="215"/>
        <v>1.0107998035354258</v>
      </c>
      <c r="F571" s="339">
        <f t="shared" si="216"/>
        <v>0.14631127418171419</v>
      </c>
      <c r="G571" s="338">
        <f t="shared" si="217"/>
        <v>1</v>
      </c>
      <c r="H571" s="339">
        <f t="shared" si="218"/>
        <v>0</v>
      </c>
      <c r="I571" s="337">
        <f t="shared" si="219"/>
        <v>18487.092217773781</v>
      </c>
      <c r="J571" s="340">
        <f t="shared" si="220"/>
        <v>1.5707422349999995</v>
      </c>
      <c r="K571" s="348">
        <f t="shared" si="236"/>
        <v>17.459404377836112</v>
      </c>
      <c r="L571" s="349">
        <f t="shared" si="237"/>
        <v>1.5134892424033066</v>
      </c>
      <c r="M571" s="337">
        <f t="shared" si="221"/>
        <v>1.027493926544679</v>
      </c>
      <c r="N571" s="340">
        <f t="shared" si="222"/>
        <v>0.23185525791530298</v>
      </c>
      <c r="O571" s="341">
        <f t="shared" si="223"/>
        <v>0.99765125659971776</v>
      </c>
      <c r="P571" s="342">
        <f t="shared" si="224"/>
        <v>0.12022388214387762</v>
      </c>
      <c r="Q571" s="343">
        <f t="shared" si="225"/>
        <v>-4.3411787349670412</v>
      </c>
      <c r="R571" s="344">
        <f t="shared" si="226"/>
        <v>-104.77456526716382</v>
      </c>
      <c r="S571" s="346">
        <f t="shared" si="227"/>
        <v>75.225434732836177</v>
      </c>
      <c r="U571" s="319">
        <f t="shared" si="233"/>
        <v>97724</v>
      </c>
      <c r="V571" s="319">
        <f t="shared" si="234"/>
        <v>9549980176</v>
      </c>
      <c r="X571" s="345">
        <f t="shared" si="228"/>
        <v>36.974855455604235</v>
      </c>
      <c r="Y571" s="346">
        <f t="shared" si="229"/>
        <v>-16.564682595676199</v>
      </c>
      <c r="AA571" s="345">
        <f t="shared" si="230"/>
        <v>15.482012822345489</v>
      </c>
      <c r="AB571" s="346">
        <f t="shared" si="231"/>
        <v>-88.20988267148762</v>
      </c>
      <c r="AD571">
        <f t="shared" si="235"/>
        <v>0</v>
      </c>
      <c r="AE571">
        <f t="shared" si="238"/>
        <v>0</v>
      </c>
    </row>
    <row r="572" spans="1:31" x14ac:dyDescent="0.2">
      <c r="A572" s="347">
        <v>98862</v>
      </c>
      <c r="B572" s="364">
        <f t="shared" si="232"/>
        <v>98.861999999999995</v>
      </c>
      <c r="C572" s="337">
        <f t="shared" si="213"/>
        <v>196.20620431425129</v>
      </c>
      <c r="D572" s="338">
        <f t="shared" si="214"/>
        <v>1.5656996259392766</v>
      </c>
      <c r="E572" s="338">
        <f t="shared" si="215"/>
        <v>1.0110514135213529</v>
      </c>
      <c r="F572" s="339">
        <f t="shared" si="216"/>
        <v>0.14799044619086754</v>
      </c>
      <c r="G572" s="338">
        <f t="shared" si="217"/>
        <v>1</v>
      </c>
      <c r="H572" s="339">
        <f t="shared" si="218"/>
        <v>0</v>
      </c>
      <c r="I572" s="337">
        <f t="shared" si="219"/>
        <v>18702.375166513335</v>
      </c>
      <c r="J572" s="340">
        <f t="shared" si="220"/>
        <v>1.5707428576503857</v>
      </c>
      <c r="K572" s="348">
        <f t="shared" si="236"/>
        <v>17.662056708228093</v>
      </c>
      <c r="L572" s="349">
        <f t="shared" si="237"/>
        <v>1.514147485418232</v>
      </c>
      <c r="M572" s="337">
        <f t="shared" si="221"/>
        <v>1.02812917734045</v>
      </c>
      <c r="N572" s="340">
        <f t="shared" si="222"/>
        <v>0.23445788973194348</v>
      </c>
      <c r="O572" s="341">
        <f t="shared" si="223"/>
        <v>0.9975972652728522</v>
      </c>
      <c r="P572" s="342">
        <f t="shared" si="224"/>
        <v>0.12163741409023923</v>
      </c>
      <c r="Q572" s="343">
        <f t="shared" si="225"/>
        <v>-4.4448018511471252</v>
      </c>
      <c r="R572" s="344">
        <f t="shared" si="226"/>
        <v>-104.87418667868801</v>
      </c>
      <c r="S572" s="346">
        <f t="shared" si="227"/>
        <v>75.125813321311995</v>
      </c>
      <c r="U572" s="319">
        <f t="shared" si="233"/>
        <v>98862</v>
      </c>
      <c r="V572" s="319">
        <f t="shared" si="234"/>
        <v>9773695044</v>
      </c>
      <c r="X572" s="345">
        <f t="shared" si="228"/>
        <v>36.969160921054446</v>
      </c>
      <c r="Y572" s="346">
        <f t="shared" si="229"/>
        <v>-16.676123543113544</v>
      </c>
      <c r="AA572" s="345">
        <f t="shared" si="230"/>
        <v>15.384084240715188</v>
      </c>
      <c r="AB572" s="346">
        <f t="shared" si="231"/>
        <v>-88.198063135574444</v>
      </c>
      <c r="AD572">
        <f t="shared" si="235"/>
        <v>0</v>
      </c>
      <c r="AE572">
        <f t="shared" si="238"/>
        <v>0</v>
      </c>
    </row>
    <row r="573" spans="1:31" x14ac:dyDescent="0.2">
      <c r="A573" s="347">
        <v>100000</v>
      </c>
      <c r="B573" s="364">
        <f t="shared" si="232"/>
        <v>100</v>
      </c>
      <c r="C573" s="337">
        <f t="shared" si="213"/>
        <v>198.46467464147938</v>
      </c>
      <c r="D573" s="338">
        <f t="shared" si="214"/>
        <v>1.5657576254076717</v>
      </c>
      <c r="E573" s="338">
        <f t="shared" si="215"/>
        <v>1.0113058728634687</v>
      </c>
      <c r="F573" s="339">
        <f t="shared" si="216"/>
        <v>0.14966877792185065</v>
      </c>
      <c r="G573" s="338">
        <f t="shared" si="217"/>
        <v>1</v>
      </c>
      <c r="H573" s="339">
        <f t="shared" si="218"/>
        <v>0</v>
      </c>
      <c r="I573" s="337">
        <f t="shared" si="219"/>
        <v>18917.658115259979</v>
      </c>
      <c r="J573" s="340">
        <f t="shared" si="220"/>
        <v>1.570743466129249</v>
      </c>
      <c r="K573" s="348">
        <f t="shared" si="236"/>
        <v>17.864716517682584</v>
      </c>
      <c r="L573" s="349">
        <f t="shared" si="237"/>
        <v>1.5147907943074528</v>
      </c>
      <c r="M573" s="337">
        <f t="shared" si="221"/>
        <v>1.0287713837388752</v>
      </c>
      <c r="N573" s="340">
        <f t="shared" si="222"/>
        <v>0.23705728977300827</v>
      </c>
      <c r="O573" s="341">
        <f t="shared" si="223"/>
        <v>0.99754269692747977</v>
      </c>
      <c r="P573" s="342">
        <f t="shared" si="224"/>
        <v>0.12305141491704502</v>
      </c>
      <c r="Q573" s="343">
        <f t="shared" si="225"/>
        <v>-4.5472894531445034</v>
      </c>
      <c r="R573" s="344">
        <f t="shared" si="226"/>
        <v>-104.97447538896574</v>
      </c>
      <c r="S573" s="346">
        <f t="shared" si="227"/>
        <v>75.025524611034257</v>
      </c>
      <c r="U573" s="319">
        <f t="shared" si="233"/>
        <v>100000</v>
      </c>
      <c r="V573" s="319">
        <f t="shared" si="234"/>
        <v>10000000000</v>
      </c>
      <c r="X573" s="345">
        <f t="shared" si="228"/>
        <v>36.963422023303863</v>
      </c>
      <c r="Y573" s="346">
        <f t="shared" si="229"/>
        <v>-16.788234173855994</v>
      </c>
      <c r="AA573" s="345">
        <f t="shared" si="230"/>
        <v>15.287335536468396</v>
      </c>
      <c r="AB573" s="346">
        <f t="shared" si="231"/>
        <v>-88.186241215109746</v>
      </c>
      <c r="AD573">
        <f t="shared" si="235"/>
        <v>0</v>
      </c>
      <c r="AE573">
        <f t="shared" si="238"/>
        <v>0</v>
      </c>
    </row>
    <row r="574" spans="1:31" x14ac:dyDescent="0.2">
      <c r="A574" s="347">
        <v>101165</v>
      </c>
      <c r="B574" s="364">
        <f t="shared" si="232"/>
        <v>101.16500000000001</v>
      </c>
      <c r="C574" s="337">
        <f t="shared" si="213"/>
        <v>200.77672973841484</v>
      </c>
      <c r="D574" s="338">
        <f t="shared" si="214"/>
        <v>1.5658156493237598</v>
      </c>
      <c r="E574" s="338">
        <f t="shared" si="215"/>
        <v>1.0115693187839379</v>
      </c>
      <c r="F574" s="339">
        <f t="shared" si="216"/>
        <v>0.15138604984943016</v>
      </c>
      <c r="G574" s="338">
        <f t="shared" si="217"/>
        <v>1</v>
      </c>
      <c r="H574" s="339">
        <f t="shared" si="218"/>
        <v>0</v>
      </c>
      <c r="I574" s="337">
        <f t="shared" si="219"/>
        <v>19138.048831690478</v>
      </c>
      <c r="J574" s="340">
        <f t="shared" si="220"/>
        <v>1.5707440748642401</v>
      </c>
      <c r="K574" s="348">
        <f t="shared" si="236"/>
        <v>18.072192084939424</v>
      </c>
      <c r="L574" s="349">
        <f t="shared" si="237"/>
        <v>1.5154344204217645</v>
      </c>
      <c r="M574" s="337">
        <f t="shared" si="221"/>
        <v>1.0294360185297236</v>
      </c>
      <c r="N574" s="340">
        <f t="shared" si="222"/>
        <v>0.23971498472557995</v>
      </c>
      <c r="O574" s="341">
        <f t="shared" si="223"/>
        <v>0.99748623792808266</v>
      </c>
      <c r="P574" s="342">
        <f t="shared" si="224"/>
        <v>0.12449945538376318</v>
      </c>
      <c r="Q574" s="343">
        <f t="shared" si="225"/>
        <v>-4.6510599429613189</v>
      </c>
      <c r="R574" s="344">
        <f t="shared" si="226"/>
        <v>-105.07780661019393</v>
      </c>
      <c r="S574" s="346">
        <f t="shared" si="227"/>
        <v>74.922193389806068</v>
      </c>
      <c r="U574" s="319">
        <f t="shared" si="233"/>
        <v>101165</v>
      </c>
      <c r="V574" s="319">
        <f t="shared" si="234"/>
        <v>10234357225</v>
      </c>
      <c r="X574" s="345">
        <f t="shared" si="228"/>
        <v>36.957500721388655</v>
      </c>
      <c r="Y574" s="346">
        <f t="shared" si="229"/>
        <v>-16.903666696014835</v>
      </c>
      <c r="AA574" s="345">
        <f t="shared" si="230"/>
        <v>15.189486348566781</v>
      </c>
      <c r="AB574" s="346">
        <f t="shared" si="231"/>
        <v>-88.174139914179108</v>
      </c>
      <c r="AD574">
        <f t="shared" si="235"/>
        <v>0</v>
      </c>
      <c r="AE574">
        <f t="shared" si="238"/>
        <v>0</v>
      </c>
    </row>
    <row r="575" spans="1:31" x14ac:dyDescent="0.2">
      <c r="A575" s="347">
        <v>102330</v>
      </c>
      <c r="B575" s="364">
        <f t="shared" si="232"/>
        <v>102.33</v>
      </c>
      <c r="C575" s="337">
        <f t="shared" si="213"/>
        <v>203.08878549592927</v>
      </c>
      <c r="D575" s="338">
        <f t="shared" si="214"/>
        <v>1.5658723520983588</v>
      </c>
      <c r="E575" s="338">
        <f t="shared" si="215"/>
        <v>1.011835746286929</v>
      </c>
      <c r="F575" s="339">
        <f t="shared" si="216"/>
        <v>0.15310242248317435</v>
      </c>
      <c r="G575" s="338">
        <f t="shared" si="217"/>
        <v>1</v>
      </c>
      <c r="H575" s="339">
        <f t="shared" si="218"/>
        <v>0</v>
      </c>
      <c r="I575" s="337">
        <f t="shared" si="219"/>
        <v>19358.439548127903</v>
      </c>
      <c r="J575" s="340">
        <f t="shared" si="220"/>
        <v>1.5707446697386571</v>
      </c>
      <c r="K575" s="348">
        <f t="shared" si="236"/>
        <v>18.279674968738416</v>
      </c>
      <c r="L575" s="349">
        <f t="shared" si="237"/>
        <v>1.5160634358752443</v>
      </c>
      <c r="M575" s="337">
        <f t="shared" si="221"/>
        <v>1.0301079151668133</v>
      </c>
      <c r="N575" s="340">
        <f t="shared" si="222"/>
        <v>0.24236923139751554</v>
      </c>
      <c r="O575" s="341">
        <f t="shared" si="223"/>
        <v>0.99742917776421158</v>
      </c>
      <c r="P575" s="342">
        <f t="shared" si="224"/>
        <v>0.12594799859895436</v>
      </c>
      <c r="Q575" s="343">
        <f t="shared" si="225"/>
        <v>-4.7536953483467528</v>
      </c>
      <c r="R575" s="344">
        <f t="shared" si="226"/>
        <v>-105.1817812298205</v>
      </c>
      <c r="S575" s="346">
        <f t="shared" si="227"/>
        <v>74.818218770179499</v>
      </c>
      <c r="U575" s="319">
        <f t="shared" si="233"/>
        <v>102330</v>
      </c>
      <c r="V575" s="319">
        <f t="shared" si="234"/>
        <v>10471428900</v>
      </c>
      <c r="X575" s="345">
        <f t="shared" si="228"/>
        <v>36.951532369031803</v>
      </c>
      <c r="Y575" s="346">
        <f t="shared" si="229"/>
        <v>-17.019737981296565</v>
      </c>
      <c r="AA575" s="345">
        <f t="shared" si="230"/>
        <v>15.092819295538211</v>
      </c>
      <c r="AB575" s="346">
        <f t="shared" si="231"/>
        <v>-88.162043248523958</v>
      </c>
      <c r="AD575">
        <f t="shared" si="235"/>
        <v>0</v>
      </c>
      <c r="AE575">
        <f t="shared" si="238"/>
        <v>0</v>
      </c>
    </row>
    <row r="576" spans="1:31" x14ac:dyDescent="0.2">
      <c r="A576" s="347">
        <v>103520</v>
      </c>
      <c r="B576" s="364">
        <f t="shared" si="232"/>
        <v>103.52</v>
      </c>
      <c r="C576" s="337">
        <f t="shared" si="213"/>
        <v>205.45045684266739</v>
      </c>
      <c r="D576" s="338">
        <f t="shared" si="214"/>
        <v>1.5659289540767645</v>
      </c>
      <c r="E576" s="338">
        <f t="shared" si="215"/>
        <v>1.0121109669125452</v>
      </c>
      <c r="F576" s="339">
        <f t="shared" si="216"/>
        <v>0.15485468892721763</v>
      </c>
      <c r="G576" s="338">
        <f t="shared" si="217"/>
        <v>1</v>
      </c>
      <c r="H576" s="339">
        <f t="shared" si="218"/>
        <v>0</v>
      </c>
      <c r="I576" s="337">
        <f t="shared" si="219"/>
        <v>19583.559679088066</v>
      </c>
      <c r="J576" s="340">
        <f t="shared" si="220"/>
        <v>1.5707452635552803</v>
      </c>
      <c r="K576" s="348">
        <f t="shared" si="236"/>
        <v>18.491617572588169</v>
      </c>
      <c r="L576" s="349">
        <f t="shared" si="237"/>
        <v>1.5166913760679397</v>
      </c>
      <c r="M576" s="337">
        <f t="shared" si="221"/>
        <v>1.0308017126890421</v>
      </c>
      <c r="N576" s="340">
        <f t="shared" si="222"/>
        <v>0.24507684424601822</v>
      </c>
      <c r="O576" s="341">
        <f t="shared" si="223"/>
        <v>0.99737027438515102</v>
      </c>
      <c r="P576" s="342">
        <f t="shared" si="224"/>
        <v>0.12742815144947353</v>
      </c>
      <c r="Q576" s="343">
        <f t="shared" si="225"/>
        <v>-4.8573887619619951</v>
      </c>
      <c r="R576" s="344">
        <f t="shared" si="226"/>
        <v>-105.2886238130931</v>
      </c>
      <c r="S576" s="346">
        <f t="shared" si="227"/>
        <v>74.711376186906904</v>
      </c>
      <c r="U576" s="319">
        <f t="shared" si="233"/>
        <v>103520</v>
      </c>
      <c r="V576" s="319">
        <f t="shared" si="234"/>
        <v>10716390400</v>
      </c>
      <c r="X576" s="345">
        <f t="shared" si="228"/>
        <v>36.945387118444387</v>
      </c>
      <c r="Y576" s="346">
        <f t="shared" si="229"/>
        <v>-17.138928470565588</v>
      </c>
      <c r="AA576" s="345">
        <f t="shared" si="230"/>
        <v>14.995271132510378</v>
      </c>
      <c r="AB576" s="346">
        <f t="shared" si="231"/>
        <v>-88.149695342527508</v>
      </c>
      <c r="AD576">
        <f t="shared" si="235"/>
        <v>0</v>
      </c>
      <c r="AE576">
        <f t="shared" si="238"/>
        <v>0</v>
      </c>
    </row>
    <row r="577" spans="1:31" x14ac:dyDescent="0.2">
      <c r="A577" s="347">
        <v>104710</v>
      </c>
      <c r="B577" s="364">
        <f t="shared" si="232"/>
        <v>104.71</v>
      </c>
      <c r="C577" s="337">
        <f t="shared" si="213"/>
        <v>207.81212883266383</v>
      </c>
      <c r="D577" s="338">
        <f t="shared" si="214"/>
        <v>1.5659842695538515</v>
      </c>
      <c r="E577" s="338">
        <f t="shared" si="215"/>
        <v>1.0123892934666265</v>
      </c>
      <c r="F577" s="339">
        <f t="shared" si="216"/>
        <v>0.15660599727821675</v>
      </c>
      <c r="G577" s="338">
        <f t="shared" si="217"/>
        <v>1</v>
      </c>
      <c r="H577" s="339">
        <f t="shared" si="218"/>
        <v>0</v>
      </c>
      <c r="I577" s="337">
        <f t="shared" si="219"/>
        <v>19808.679810054982</v>
      </c>
      <c r="J577" s="340">
        <f t="shared" si="220"/>
        <v>1.5707458438747821</v>
      </c>
      <c r="K577" s="348">
        <f t="shared" si="236"/>
        <v>18.703567302597744</v>
      </c>
      <c r="L577" s="349">
        <f t="shared" si="237"/>
        <v>1.5173050848007588</v>
      </c>
      <c r="M577" s="337">
        <f t="shared" si="221"/>
        <v>1.031503056993051</v>
      </c>
      <c r="N577" s="340">
        <f t="shared" si="222"/>
        <v>0.24778079495011807</v>
      </c>
      <c r="O577" s="341">
        <f t="shared" si="223"/>
        <v>0.99731074765192118</v>
      </c>
      <c r="P577" s="342">
        <f t="shared" si="224"/>
        <v>0.12890884096449584</v>
      </c>
      <c r="Q577" s="343">
        <f t="shared" si="225"/>
        <v>-4.9599524952097367</v>
      </c>
      <c r="R577" s="344">
        <f t="shared" si="226"/>
        <v>-105.39608313241023</v>
      </c>
      <c r="S577" s="346">
        <f t="shared" si="227"/>
        <v>74.603916867589774</v>
      </c>
      <c r="U577" s="319">
        <f t="shared" si="233"/>
        <v>104710</v>
      </c>
      <c r="V577" s="319">
        <f t="shared" si="234"/>
        <v>10964184100</v>
      </c>
      <c r="X577" s="345">
        <f t="shared" si="228"/>
        <v>36.939192306546161</v>
      </c>
      <c r="Y577" s="346">
        <f t="shared" si="229"/>
        <v>-17.258723763676187</v>
      </c>
      <c r="AA577" s="345">
        <f t="shared" si="230"/>
        <v>14.898902211160864</v>
      </c>
      <c r="AB577" s="346">
        <f t="shared" si="231"/>
        <v>-88.137359368734025</v>
      </c>
      <c r="AD577">
        <f t="shared" si="235"/>
        <v>0</v>
      </c>
      <c r="AE577">
        <f t="shared" si="238"/>
        <v>0</v>
      </c>
    </row>
    <row r="578" spans="1:31" x14ac:dyDescent="0.2">
      <c r="A578" s="347">
        <v>105930</v>
      </c>
      <c r="B578" s="364">
        <f t="shared" si="232"/>
        <v>105.93</v>
      </c>
      <c r="C578" s="337">
        <f t="shared" si="213"/>
        <v>210.23333941708145</v>
      </c>
      <c r="D578" s="338">
        <f t="shared" si="214"/>
        <v>1.5660396893666184</v>
      </c>
      <c r="E578" s="338">
        <f t="shared" si="215"/>
        <v>1.0126778583419453</v>
      </c>
      <c r="F578" s="339">
        <f t="shared" si="216"/>
        <v>0.15840045121772112</v>
      </c>
      <c r="G578" s="338">
        <f t="shared" si="217"/>
        <v>1</v>
      </c>
      <c r="H578" s="339">
        <f t="shared" si="218"/>
        <v>0</v>
      </c>
      <c r="I578" s="337">
        <f t="shared" si="219"/>
        <v>20039.475238447998</v>
      </c>
      <c r="J578" s="340">
        <f t="shared" si="220"/>
        <v>1.570746425288569</v>
      </c>
      <c r="K578" s="348">
        <f t="shared" si="236"/>
        <v>18.920867450311778</v>
      </c>
      <c r="L578" s="349">
        <f t="shared" si="237"/>
        <v>1.5179199912279153</v>
      </c>
      <c r="M578" s="337">
        <f t="shared" si="221"/>
        <v>1.0322299007035856</v>
      </c>
      <c r="N578" s="340">
        <f t="shared" si="222"/>
        <v>0.25054907715347069</v>
      </c>
      <c r="O578" s="341">
        <f t="shared" si="223"/>
        <v>0.99724907521370376</v>
      </c>
      <c r="P578" s="342">
        <f t="shared" si="224"/>
        <v>0.13042742231710011</v>
      </c>
      <c r="Q578" s="343">
        <f t="shared" si="225"/>
        <v>-5.0639565264017552</v>
      </c>
      <c r="R578" s="344">
        <f t="shared" si="226"/>
        <v>-105.5068647752349</v>
      </c>
      <c r="S578" s="346">
        <f t="shared" si="227"/>
        <v>74.493135224765098</v>
      </c>
      <c r="U578" s="319">
        <f t="shared" si="233"/>
        <v>105930</v>
      </c>
      <c r="V578" s="319">
        <f t="shared" si="234"/>
        <v>11221164900</v>
      </c>
      <c r="X578" s="345">
        <f t="shared" si="228"/>
        <v>36.932789668207079</v>
      </c>
      <c r="Y578" s="346">
        <f t="shared" si="229"/>
        <v>-17.382136420055087</v>
      </c>
      <c r="AA578" s="345">
        <f t="shared" si="230"/>
        <v>14.801300818307928</v>
      </c>
      <c r="AB578" s="346">
        <f t="shared" si="231"/>
        <v>-88.124728355179812</v>
      </c>
      <c r="AD578">
        <f t="shared" si="235"/>
        <v>0</v>
      </c>
      <c r="AE578">
        <f t="shared" si="238"/>
        <v>0</v>
      </c>
    </row>
    <row r="579" spans="1:31" x14ac:dyDescent="0.2">
      <c r="A579" s="347">
        <v>107150</v>
      </c>
      <c r="B579" s="364">
        <f t="shared" si="232"/>
        <v>107.15</v>
      </c>
      <c r="C579" s="337">
        <f t="shared" si="213"/>
        <v>212.65455063249692</v>
      </c>
      <c r="D579" s="338">
        <f t="shared" si="214"/>
        <v>1.5660938471978807</v>
      </c>
      <c r="E579" s="338">
        <f t="shared" si="215"/>
        <v>1.0129696822417491</v>
      </c>
      <c r="F579" s="339">
        <f t="shared" si="216"/>
        <v>0.1601938770099284</v>
      </c>
      <c r="G579" s="338">
        <f t="shared" si="217"/>
        <v>1</v>
      </c>
      <c r="H579" s="339">
        <f t="shared" si="218"/>
        <v>0</v>
      </c>
      <c r="I579" s="337">
        <f t="shared" si="219"/>
        <v>20270.270666847631</v>
      </c>
      <c r="J579" s="340">
        <f t="shared" si="220"/>
        <v>1.5707469934625085</v>
      </c>
      <c r="K579" s="348">
        <f t="shared" si="236"/>
        <v>19.138174589731012</v>
      </c>
      <c r="L579" s="349">
        <f t="shared" si="237"/>
        <v>1.5185209337921421</v>
      </c>
      <c r="M579" s="337">
        <f t="shared" si="221"/>
        <v>1.0329646436230815</v>
      </c>
      <c r="N579" s="340">
        <f t="shared" si="222"/>
        <v>0.2533134423838706</v>
      </c>
      <c r="O579" s="341">
        <f t="shared" si="223"/>
        <v>0.99718675187754535</v>
      </c>
      <c r="P579" s="342">
        <f t="shared" si="224"/>
        <v>0.13194658074792573</v>
      </c>
      <c r="Q579" s="343">
        <f t="shared" si="225"/>
        <v>-5.1668279781191906</v>
      </c>
      <c r="R579" s="344">
        <f t="shared" si="226"/>
        <v>-105.61824097029915</v>
      </c>
      <c r="S579" s="346">
        <f t="shared" si="227"/>
        <v>74.381759029700845</v>
      </c>
      <c r="U579" s="319">
        <f t="shared" si="233"/>
        <v>107150</v>
      </c>
      <c r="V579" s="319">
        <f t="shared" si="234"/>
        <v>11481122500</v>
      </c>
      <c r="X579" s="345">
        <f t="shared" si="228"/>
        <v>36.926334552979505</v>
      </c>
      <c r="Y579" s="346">
        <f t="shared" si="229"/>
        <v>-17.506123962240181</v>
      </c>
      <c r="AA579" s="345">
        <f t="shared" si="230"/>
        <v>14.704884481818073</v>
      </c>
      <c r="AB579" s="346">
        <f t="shared" si="231"/>
        <v>-88.112117008058945</v>
      </c>
      <c r="AD579">
        <f t="shared" si="235"/>
        <v>0</v>
      </c>
      <c r="AE579">
        <f t="shared" si="238"/>
        <v>0</v>
      </c>
    </row>
    <row r="580" spans="1:31" x14ac:dyDescent="0.2">
      <c r="A580" s="347">
        <v>108400</v>
      </c>
      <c r="B580" s="364">
        <f t="shared" si="232"/>
        <v>108.4</v>
      </c>
      <c r="C580" s="337">
        <f t="shared" si="213"/>
        <v>215.13530046080473</v>
      </c>
      <c r="D580" s="338">
        <f t="shared" si="214"/>
        <v>1.5661480724223602</v>
      </c>
      <c r="E580" s="338">
        <f t="shared" si="215"/>
        <v>1.0132720594141549</v>
      </c>
      <c r="F580" s="339">
        <f t="shared" si="216"/>
        <v>0.16203032592542044</v>
      </c>
      <c r="G580" s="338">
        <f t="shared" si="217"/>
        <v>1</v>
      </c>
      <c r="H580" s="339">
        <f t="shared" si="218"/>
        <v>0</v>
      </c>
      <c r="I580" s="337">
        <f t="shared" si="219"/>
        <v>20506.741392673561</v>
      </c>
      <c r="J580" s="340">
        <f t="shared" si="220"/>
        <v>1.5707475623431855</v>
      </c>
      <c r="K580" s="348">
        <f t="shared" si="236"/>
        <v>19.360832352860108</v>
      </c>
      <c r="L580" s="349">
        <f t="shared" si="237"/>
        <v>1.5191226617176867</v>
      </c>
      <c r="M580" s="337">
        <f t="shared" si="221"/>
        <v>1.0337256293385397</v>
      </c>
      <c r="N580" s="340">
        <f t="shared" si="222"/>
        <v>0.25614168577705176</v>
      </c>
      <c r="O580" s="341">
        <f t="shared" si="223"/>
        <v>0.99712222320420807</v>
      </c>
      <c r="P580" s="342">
        <f t="shared" si="224"/>
        <v>0.13350370095729414</v>
      </c>
      <c r="Q580" s="343">
        <f t="shared" si="225"/>
        <v>-5.2710818602375031</v>
      </c>
      <c r="R580" s="344">
        <f t="shared" si="226"/>
        <v>-105.7329460247563</v>
      </c>
      <c r="S580" s="346">
        <f t="shared" si="227"/>
        <v>74.267053975243698</v>
      </c>
      <c r="U580" s="319">
        <f t="shared" si="233"/>
        <v>108400</v>
      </c>
      <c r="V580" s="319">
        <f t="shared" si="234"/>
        <v>11750560000</v>
      </c>
      <c r="X580" s="345">
        <f t="shared" si="228"/>
        <v>36.919666116679878</v>
      </c>
      <c r="Y580" s="346">
        <f t="shared" si="229"/>
        <v>-17.633726496164002</v>
      </c>
      <c r="AA580" s="345">
        <f t="shared" si="230"/>
        <v>14.607299035999382</v>
      </c>
      <c r="AB580" s="346">
        <f t="shared" si="231"/>
        <v>-88.0992195285923</v>
      </c>
      <c r="AD580">
        <f t="shared" si="235"/>
        <v>0</v>
      </c>
      <c r="AE580">
        <f t="shared" si="238"/>
        <v>0</v>
      </c>
    </row>
    <row r="581" spans="1:31" x14ac:dyDescent="0.2">
      <c r="A581" s="347">
        <v>109650</v>
      </c>
      <c r="B581" s="364">
        <f t="shared" si="232"/>
        <v>109.65</v>
      </c>
      <c r="C581" s="337">
        <f t="shared" si="213"/>
        <v>217.61605090726857</v>
      </c>
      <c r="D581" s="338">
        <f t="shared" si="214"/>
        <v>1.5662010613480222</v>
      </c>
      <c r="E581" s="338">
        <f t="shared" si="215"/>
        <v>1.013577851846126</v>
      </c>
      <c r="F581" s="339">
        <f t="shared" si="216"/>
        <v>0.16386567292884646</v>
      </c>
      <c r="G581" s="338">
        <f t="shared" si="217"/>
        <v>1</v>
      </c>
      <c r="H581" s="339">
        <f t="shared" si="218"/>
        <v>0</v>
      </c>
      <c r="I581" s="337">
        <f t="shared" si="219"/>
        <v>20743.212118505977</v>
      </c>
      <c r="J581" s="340">
        <f t="shared" si="220"/>
        <v>1.5707481182534868</v>
      </c>
      <c r="K581" s="348">
        <f t="shared" si="236"/>
        <v>19.583496966685086</v>
      </c>
      <c r="L581" s="349">
        <f t="shared" si="237"/>
        <v>1.5197107065435382</v>
      </c>
      <c r="M581" s="337">
        <f t="shared" si="221"/>
        <v>1.0344948715809856</v>
      </c>
      <c r="N581" s="340">
        <f t="shared" si="222"/>
        <v>0.25896574561288072</v>
      </c>
      <c r="O581" s="341">
        <f t="shared" si="223"/>
        <v>0.99705701594530627</v>
      </c>
      <c r="P581" s="342">
        <f t="shared" si="224"/>
        <v>0.13506144096669706</v>
      </c>
      <c r="Q581" s="343">
        <f t="shared" si="225"/>
        <v>-5.3742017030922131</v>
      </c>
      <c r="R581" s="344">
        <f t="shared" si="226"/>
        <v>-105.84822243188225</v>
      </c>
      <c r="S581" s="346">
        <f t="shared" si="227"/>
        <v>74.151777568117751</v>
      </c>
      <c r="U581" s="319">
        <f t="shared" si="233"/>
        <v>109650</v>
      </c>
      <c r="V581" s="319">
        <f t="shared" si="234"/>
        <v>12023122500</v>
      </c>
      <c r="X581" s="345">
        <f t="shared" si="228"/>
        <v>36.912942292633318</v>
      </c>
      <c r="Y581" s="346">
        <f t="shared" si="229"/>
        <v>-17.761872570624092</v>
      </c>
      <c r="AA581" s="345">
        <f t="shared" si="230"/>
        <v>14.510903017191231</v>
      </c>
      <c r="AB581" s="346">
        <f t="shared" si="231"/>
        <v>-88.086349861258128</v>
      </c>
      <c r="AD581">
        <f t="shared" si="235"/>
        <v>0</v>
      </c>
      <c r="AE581">
        <f t="shared" si="238"/>
        <v>0</v>
      </c>
    </row>
    <row r="582" spans="1:31" x14ac:dyDescent="0.2">
      <c r="A582" s="347">
        <v>110925</v>
      </c>
      <c r="B582" s="364">
        <f t="shared" si="232"/>
        <v>110.925</v>
      </c>
      <c r="C582" s="337">
        <f t="shared" si="213"/>
        <v>220.1464169778142</v>
      </c>
      <c r="D582" s="338">
        <f t="shared" si="214"/>
        <v>1.5662538797602947</v>
      </c>
      <c r="E582" s="338">
        <f t="shared" si="215"/>
        <v>1.0138932753222671</v>
      </c>
      <c r="F582" s="339">
        <f t="shared" si="216"/>
        <v>0.16573657989952631</v>
      </c>
      <c r="G582" s="338">
        <f t="shared" si="217"/>
        <v>1</v>
      </c>
      <c r="H582" s="339">
        <f t="shared" si="218"/>
        <v>0</v>
      </c>
      <c r="I582" s="337">
        <f t="shared" si="219"/>
        <v>20984.412258861496</v>
      </c>
      <c r="J582" s="340">
        <f t="shared" si="220"/>
        <v>1.5707486723746515</v>
      </c>
      <c r="K582" s="348">
        <f t="shared" si="236"/>
        <v>19.810621690812333</v>
      </c>
      <c r="L582" s="349">
        <f t="shared" si="237"/>
        <v>1.5202968940045927</v>
      </c>
      <c r="M582" s="337">
        <f t="shared" si="221"/>
        <v>1.0352879854547912</v>
      </c>
      <c r="N582" s="340">
        <f t="shared" si="222"/>
        <v>0.26184193975501585</v>
      </c>
      <c r="O582" s="341">
        <f t="shared" si="223"/>
        <v>0.99698980798243442</v>
      </c>
      <c r="P582" s="342">
        <f t="shared" si="224"/>
        <v>0.1366509816335951</v>
      </c>
      <c r="Q582" s="343">
        <f t="shared" si="225"/>
        <v>-5.4782429949268652</v>
      </c>
      <c r="R582" s="344">
        <f t="shared" si="226"/>
        <v>-105.96636706910392</v>
      </c>
      <c r="S582" s="346">
        <f t="shared" si="227"/>
        <v>74.033632930896076</v>
      </c>
      <c r="U582" s="319">
        <f t="shared" si="233"/>
        <v>110925</v>
      </c>
      <c r="V582" s="319">
        <f t="shared" si="234"/>
        <v>12304355625</v>
      </c>
      <c r="X582" s="345">
        <f t="shared" si="228"/>
        <v>36.906026816825332</v>
      </c>
      <c r="Y582" s="346">
        <f t="shared" si="229"/>
        <v>-17.893112037460821</v>
      </c>
      <c r="AA582" s="345">
        <f t="shared" si="230"/>
        <v>14.413777201164567</v>
      </c>
      <c r="AB582" s="346">
        <f t="shared" si="231"/>
        <v>-88.073255031643072</v>
      </c>
      <c r="AD582">
        <f t="shared" si="235"/>
        <v>0</v>
      </c>
      <c r="AE582">
        <f t="shared" si="238"/>
        <v>0</v>
      </c>
    </row>
    <row r="583" spans="1:31" x14ac:dyDescent="0.2">
      <c r="A583" s="347">
        <v>112200</v>
      </c>
      <c r="B583" s="364">
        <f t="shared" si="232"/>
        <v>112.2</v>
      </c>
      <c r="C583" s="337">
        <f t="shared" si="213"/>
        <v>222.67678364856295</v>
      </c>
      <c r="D583" s="338">
        <f t="shared" si="214"/>
        <v>1.566305497778596</v>
      </c>
      <c r="E583" s="338">
        <f t="shared" si="215"/>
        <v>1.0142122455071358</v>
      </c>
      <c r="F583" s="339">
        <f t="shared" si="216"/>
        <v>0.16760631660933492</v>
      </c>
      <c r="G583" s="338">
        <f t="shared" si="217"/>
        <v>1</v>
      </c>
      <c r="H583" s="339">
        <f t="shared" si="218"/>
        <v>0</v>
      </c>
      <c r="I583" s="337">
        <f t="shared" si="219"/>
        <v>21225.612399223308</v>
      </c>
      <c r="J583" s="340">
        <f t="shared" si="220"/>
        <v>1.5707492139021535</v>
      </c>
      <c r="K583" s="348">
        <f t="shared" si="236"/>
        <v>20.037753067861672</v>
      </c>
      <c r="L583" s="349">
        <f t="shared" si="237"/>
        <v>1.5208697925874388</v>
      </c>
      <c r="M583" s="337">
        <f t="shared" si="221"/>
        <v>1.0360896505877473</v>
      </c>
      <c r="N583" s="340">
        <f t="shared" si="222"/>
        <v>0.26471370676417671</v>
      </c>
      <c r="O583" s="341">
        <f t="shared" si="223"/>
        <v>0.99692189915651785</v>
      </c>
      <c r="P583" s="342">
        <f t="shared" si="224"/>
        <v>0.13824118201058316</v>
      </c>
      <c r="Q583" s="343">
        <f t="shared" si="225"/>
        <v>-5.5811588727959656</v>
      </c>
      <c r="R583" s="344">
        <f t="shared" si="226"/>
        <v>-106.08505479746792</v>
      </c>
      <c r="S583" s="346">
        <f t="shared" si="227"/>
        <v>73.914945202532081</v>
      </c>
      <c r="U583" s="319">
        <f t="shared" si="233"/>
        <v>112200</v>
      </c>
      <c r="V583" s="319">
        <f t="shared" si="234"/>
        <v>12588840000</v>
      </c>
      <c r="X583" s="345">
        <f t="shared" si="228"/>
        <v>36.899053509252163</v>
      </c>
      <c r="Y583" s="346">
        <f t="shared" si="229"/>
        <v>-18.024858523335432</v>
      </c>
      <c r="AA583" s="345">
        <f t="shared" si="230"/>
        <v>14.317834630868626</v>
      </c>
      <c r="AB583" s="346">
        <f t="shared" si="231"/>
        <v>-88.060196274132466</v>
      </c>
      <c r="AD583">
        <f t="shared" si="235"/>
        <v>0</v>
      </c>
      <c r="AE583">
        <f t="shared" si="238"/>
        <v>0</v>
      </c>
    </row>
    <row r="584" spans="1:31" x14ac:dyDescent="0.2">
      <c r="A584" s="347">
        <v>113510</v>
      </c>
      <c r="B584" s="364">
        <f t="shared" si="232"/>
        <v>113.51</v>
      </c>
      <c r="C584" s="337">
        <f t="shared" si="213"/>
        <v>225.27661196906092</v>
      </c>
      <c r="D584" s="338">
        <f t="shared" si="214"/>
        <v>1.5663573250033227</v>
      </c>
      <c r="E584" s="338">
        <f t="shared" si="215"/>
        <v>1.0145436623059059</v>
      </c>
      <c r="F584" s="339">
        <f t="shared" si="216"/>
        <v>0.16952614796225582</v>
      </c>
      <c r="G584" s="338">
        <f t="shared" si="217"/>
        <v>1</v>
      </c>
      <c r="H584" s="339">
        <f t="shared" si="218"/>
        <v>0</v>
      </c>
      <c r="I584" s="337">
        <f t="shared" si="219"/>
        <v>21473.433719915116</v>
      </c>
      <c r="J584" s="340">
        <f t="shared" si="220"/>
        <v>1.5707497576241993</v>
      </c>
      <c r="K584" s="348">
        <f t="shared" si="236"/>
        <v>20.271126118205977</v>
      </c>
      <c r="L584" s="349">
        <f t="shared" si="237"/>
        <v>1.5214450458467956</v>
      </c>
      <c r="M584" s="337">
        <f t="shared" si="221"/>
        <v>1.0369222079581599</v>
      </c>
      <c r="N584" s="340">
        <f t="shared" si="222"/>
        <v>0.26765965656556839</v>
      </c>
      <c r="O584" s="341">
        <f t="shared" si="223"/>
        <v>0.99685139895598662</v>
      </c>
      <c r="P584" s="342">
        <f t="shared" si="224"/>
        <v>0.13987572995767708</v>
      </c>
      <c r="Q584" s="343">
        <f t="shared" si="225"/>
        <v>-5.6857551169863019</v>
      </c>
      <c r="R584" s="344">
        <f t="shared" si="226"/>
        <v>-106.20754080307286</v>
      </c>
      <c r="S584" s="346">
        <f t="shared" si="227"/>
        <v>73.79245919692714</v>
      </c>
      <c r="U584" s="319">
        <f t="shared" si="233"/>
        <v>113510</v>
      </c>
      <c r="V584" s="319">
        <f t="shared" si="234"/>
        <v>12884520100</v>
      </c>
      <c r="X584" s="345">
        <f t="shared" si="228"/>
        <v>36.891828473463164</v>
      </c>
      <c r="Y584" s="346">
        <f t="shared" si="229"/>
        <v>-18.160720582833989</v>
      </c>
      <c r="AA584" s="345">
        <f t="shared" si="230"/>
        <v>14.220463422467294</v>
      </c>
      <c r="AB584" s="346">
        <f t="shared" si="231"/>
        <v>-88.046820220238899</v>
      </c>
      <c r="AD584">
        <f t="shared" si="235"/>
        <v>0</v>
      </c>
      <c r="AE584">
        <f t="shared" si="238"/>
        <v>0</v>
      </c>
    </row>
    <row r="585" spans="1:31" x14ac:dyDescent="0.2">
      <c r="A585" s="347">
        <v>114820</v>
      </c>
      <c r="B585" s="364">
        <f t="shared" si="232"/>
        <v>114.82</v>
      </c>
      <c r="C585" s="337">
        <f t="shared" si="213"/>
        <v>227.87644088085838</v>
      </c>
      <c r="D585" s="338">
        <f t="shared" si="214"/>
        <v>1.5664079696406652</v>
      </c>
      <c r="E585" s="338">
        <f t="shared" si="215"/>
        <v>1.0148788160111675</v>
      </c>
      <c r="F585" s="339">
        <f t="shared" si="216"/>
        <v>0.17144471837199504</v>
      </c>
      <c r="G585" s="338">
        <f t="shared" si="217"/>
        <v>1</v>
      </c>
      <c r="H585" s="339">
        <f t="shared" si="218"/>
        <v>0</v>
      </c>
      <c r="I585" s="337">
        <f t="shared" si="219"/>
        <v>21721.255040613127</v>
      </c>
      <c r="J585" s="340">
        <f t="shared" si="220"/>
        <v>1.5707502889394189</v>
      </c>
      <c r="K585" s="348">
        <f t="shared" si="236"/>
        <v>20.504505723899388</v>
      </c>
      <c r="L585" s="349">
        <f t="shared" si="237"/>
        <v>1.5220072043737591</v>
      </c>
      <c r="M585" s="337">
        <f t="shared" si="221"/>
        <v>1.0377637498979304</v>
      </c>
      <c r="N585" s="340">
        <f t="shared" si="222"/>
        <v>0.2706008540071253</v>
      </c>
      <c r="O585" s="341">
        <f t="shared" si="223"/>
        <v>0.99678016457086627</v>
      </c>
      <c r="P585" s="342">
        <f t="shared" si="224"/>
        <v>0.14151099038920342</v>
      </c>
      <c r="Q585" s="343">
        <f t="shared" si="225"/>
        <v>-5.789218140634893</v>
      </c>
      <c r="R585" s="344">
        <f t="shared" si="226"/>
        <v>-106.33054939236584</v>
      </c>
      <c r="S585" s="346">
        <f t="shared" si="227"/>
        <v>73.669450607634161</v>
      </c>
      <c r="U585" s="319">
        <f t="shared" si="233"/>
        <v>114820</v>
      </c>
      <c r="V585" s="319">
        <f t="shared" si="234"/>
        <v>13183632400</v>
      </c>
      <c r="X585" s="345">
        <f t="shared" si="228"/>
        <v>36.884542271902326</v>
      </c>
      <c r="Y585" s="346">
        <f t="shared" si="229"/>
        <v>-18.297059914213044</v>
      </c>
      <c r="AA585" s="345">
        <f t="shared" si="230"/>
        <v>14.124286600379543</v>
      </c>
      <c r="AB585" s="346">
        <f t="shared" si="231"/>
        <v>-88.033489478152802</v>
      </c>
      <c r="AD585">
        <f t="shared" si="235"/>
        <v>0</v>
      </c>
      <c r="AE585">
        <f t="shared" si="238"/>
        <v>0</v>
      </c>
    </row>
    <row r="586" spans="1:31" x14ac:dyDescent="0.2">
      <c r="A586" s="347">
        <v>116155</v>
      </c>
      <c r="B586" s="364">
        <f t="shared" si="232"/>
        <v>116.155</v>
      </c>
      <c r="C586" s="337">
        <f t="shared" si="213"/>
        <v>230.52588543584528</v>
      </c>
      <c r="D586" s="338">
        <f t="shared" si="214"/>
        <v>1.5664584055485413</v>
      </c>
      <c r="E586" s="338">
        <f t="shared" si="215"/>
        <v>1.0152242065069867</v>
      </c>
      <c r="F586" s="339">
        <f t="shared" si="216"/>
        <v>0.17339859212939268</v>
      </c>
      <c r="G586" s="338">
        <f t="shared" si="217"/>
        <v>1</v>
      </c>
      <c r="H586" s="339">
        <f t="shared" si="218"/>
        <v>0</v>
      </c>
      <c r="I586" s="337">
        <f t="shared" si="219"/>
        <v>21973.805775834437</v>
      </c>
      <c r="J586" s="340">
        <f t="shared" si="220"/>
        <v>1.5707508180646135</v>
      </c>
      <c r="K586" s="348">
        <f t="shared" si="236"/>
        <v>20.742345653965412</v>
      </c>
      <c r="L586" s="349">
        <f t="shared" si="237"/>
        <v>1.5225670764157233</v>
      </c>
      <c r="M586" s="337">
        <f t="shared" si="221"/>
        <v>1.0386305725834526</v>
      </c>
      <c r="N586" s="340">
        <f t="shared" si="222"/>
        <v>0.27359325124632705</v>
      </c>
      <c r="O586" s="341">
        <f t="shared" si="223"/>
        <v>0.99670681845233977</v>
      </c>
      <c r="P586" s="342">
        <f t="shared" si="224"/>
        <v>0.14317819951057506</v>
      </c>
      <c r="Q586" s="343">
        <f t="shared" si="225"/>
        <v>-5.8935170663005367</v>
      </c>
      <c r="R586" s="344">
        <f t="shared" si="226"/>
        <v>-106.45641822738837</v>
      </c>
      <c r="S586" s="346">
        <f t="shared" si="227"/>
        <v>73.543581772611631</v>
      </c>
      <c r="U586" s="319">
        <f t="shared" si="233"/>
        <v>116155</v>
      </c>
      <c r="V586" s="319">
        <f t="shared" si="234"/>
        <v>13491984025</v>
      </c>
      <c r="X586" s="345">
        <f t="shared" si="228"/>
        <v>36.877054071004025</v>
      </c>
      <c r="Y586" s="346">
        <f t="shared" si="229"/>
        <v>-18.436463658373754</v>
      </c>
      <c r="AA586" s="345">
        <f t="shared" si="230"/>
        <v>14.027475875612199</v>
      </c>
      <c r="AB586" s="346">
        <f t="shared" si="231"/>
        <v>-88.019954569014601</v>
      </c>
      <c r="AD586">
        <f t="shared" si="235"/>
        <v>0</v>
      </c>
      <c r="AE586">
        <f t="shared" si="238"/>
        <v>0</v>
      </c>
    </row>
    <row r="587" spans="1:31" x14ac:dyDescent="0.2">
      <c r="A587" s="347">
        <v>117490</v>
      </c>
      <c r="B587" s="364">
        <f t="shared" si="232"/>
        <v>117.49</v>
      </c>
      <c r="C587" s="337">
        <f t="shared" si="213"/>
        <v>233.17533056391341</v>
      </c>
      <c r="D587" s="338">
        <f t="shared" si="214"/>
        <v>1.5665076953046722</v>
      </c>
      <c r="E587" s="338">
        <f t="shared" si="215"/>
        <v>1.0155734701008798</v>
      </c>
      <c r="F587" s="339">
        <f t="shared" si="216"/>
        <v>0.1753511294319087</v>
      </c>
      <c r="G587" s="338">
        <f t="shared" si="217"/>
        <v>1</v>
      </c>
      <c r="H587" s="339">
        <f t="shared" si="218"/>
        <v>0</v>
      </c>
      <c r="I587" s="337">
        <f t="shared" si="219"/>
        <v>22226.356511061767</v>
      </c>
      <c r="J587" s="340">
        <f t="shared" si="220"/>
        <v>1.5707513351652591</v>
      </c>
      <c r="K587" s="348">
        <f t="shared" si="236"/>
        <v>20.980191938442879</v>
      </c>
      <c r="L587" s="349">
        <f t="shared" si="237"/>
        <v>1.5231142544156147</v>
      </c>
      <c r="M587" s="337">
        <f t="shared" si="221"/>
        <v>1.039506680066129</v>
      </c>
      <c r="N587" s="340">
        <f t="shared" si="222"/>
        <v>0.27658063114889042</v>
      </c>
      <c r="O587" s="341">
        <f t="shared" si="223"/>
        <v>0.99663271604601822</v>
      </c>
      <c r="P587" s="342">
        <f t="shared" si="224"/>
        <v>0.14484616561901661</v>
      </c>
      <c r="Q587" s="343">
        <f t="shared" si="225"/>
        <v>-5.9966934015338964</v>
      </c>
      <c r="R587" s="344">
        <f t="shared" si="226"/>
        <v>-106.5827804920083</v>
      </c>
      <c r="S587" s="346">
        <f t="shared" si="227"/>
        <v>73.417219507991703</v>
      </c>
      <c r="U587" s="319">
        <f t="shared" si="233"/>
        <v>117490</v>
      </c>
      <c r="V587" s="319">
        <f t="shared" si="234"/>
        <v>13803900100</v>
      </c>
      <c r="X587" s="345">
        <f t="shared" si="228"/>
        <v>36.869502327649066</v>
      </c>
      <c r="Y587" s="346">
        <f t="shared" si="229"/>
        <v>-18.576306556401033</v>
      </c>
      <c r="AA587" s="345">
        <f t="shared" si="230"/>
        <v>13.931851283733796</v>
      </c>
      <c r="AB587" s="346">
        <f t="shared" si="231"/>
        <v>-88.006473935607261</v>
      </c>
      <c r="AD587">
        <f t="shared" si="235"/>
        <v>0</v>
      </c>
      <c r="AE587">
        <f t="shared" si="238"/>
        <v>0</v>
      </c>
    </row>
    <row r="588" spans="1:31" x14ac:dyDescent="0.2">
      <c r="A588" s="347">
        <v>118860</v>
      </c>
      <c r="B588" s="364">
        <f t="shared" si="232"/>
        <v>118.86</v>
      </c>
      <c r="C588" s="337">
        <f t="shared" si="213"/>
        <v>235.89423737577204</v>
      </c>
      <c r="D588" s="338">
        <f t="shared" si="214"/>
        <v>1.5665571261841997</v>
      </c>
      <c r="E588" s="338">
        <f t="shared" si="215"/>
        <v>1.0159359129706018</v>
      </c>
      <c r="F588" s="339">
        <f t="shared" si="216"/>
        <v>0.17735345322011012</v>
      </c>
      <c r="G588" s="338">
        <f t="shared" si="217"/>
        <v>1</v>
      </c>
      <c r="H588" s="339">
        <f t="shared" si="218"/>
        <v>0</v>
      </c>
      <c r="I588" s="337">
        <f t="shared" si="219"/>
        <v>22485.528426619439</v>
      </c>
      <c r="J588" s="340">
        <f t="shared" si="220"/>
        <v>1.570751853746216</v>
      </c>
      <c r="K588" s="348">
        <f t="shared" si="236"/>
        <v>21.22428027574329</v>
      </c>
      <c r="L588" s="349">
        <f t="shared" si="237"/>
        <v>1.5236630275276057</v>
      </c>
      <c r="M588" s="337">
        <f t="shared" si="221"/>
        <v>1.0404153851786206</v>
      </c>
      <c r="N588" s="340">
        <f t="shared" si="222"/>
        <v>0.279641072947588</v>
      </c>
      <c r="O588" s="341">
        <f t="shared" si="223"/>
        <v>0.9965558879240688</v>
      </c>
      <c r="P588" s="342">
        <f t="shared" si="224"/>
        <v>0.14655865721096192</v>
      </c>
      <c r="Q588" s="343">
        <f t="shared" si="225"/>
        <v>-6.1014348675567129</v>
      </c>
      <c r="R588" s="344">
        <f t="shared" si="226"/>
        <v>-106.71294423910273</v>
      </c>
      <c r="S588" s="346">
        <f t="shared" si="227"/>
        <v>73.287055760897275</v>
      </c>
      <c r="U588" s="319">
        <f t="shared" si="233"/>
        <v>118860</v>
      </c>
      <c r="V588" s="319">
        <f t="shared" si="234"/>
        <v>14127699600</v>
      </c>
      <c r="X588" s="345">
        <f t="shared" si="228"/>
        <v>36.861686562122188</v>
      </c>
      <c r="Y588" s="346">
        <f t="shared" si="229"/>
        <v>-18.720244284349111</v>
      </c>
      <c r="AA588" s="345">
        <f t="shared" si="230"/>
        <v>13.83492558323786</v>
      </c>
      <c r="AB588" s="346">
        <f t="shared" si="231"/>
        <v>-87.99269995475359</v>
      </c>
      <c r="AD588">
        <f t="shared" si="235"/>
        <v>0</v>
      </c>
      <c r="AE588">
        <f t="shared" si="238"/>
        <v>0</v>
      </c>
    </row>
    <row r="589" spans="1:31" x14ac:dyDescent="0.2">
      <c r="A589" s="347">
        <v>120230</v>
      </c>
      <c r="B589" s="364">
        <f t="shared" si="232"/>
        <v>120.23</v>
      </c>
      <c r="C589" s="337">
        <f t="shared" ref="C589:C613" si="239">SQRT(1+(A589/pole1)^2)</f>
        <v>238.61314475088204</v>
      </c>
      <c r="D589" s="338">
        <f t="shared" ref="D589:D613" si="240">ATAN(A589/pole1)</f>
        <v>1.5666054305711428</v>
      </c>
      <c r="E589" s="338">
        <f t="shared" ref="E589:E613" si="241">SQRT(1+(A589/Zero1)^2)</f>
        <v>1.0163024261179823</v>
      </c>
      <c r="F589" s="339">
        <f t="shared" ref="F589:F613" si="242">ATAN(A589/Zero1)</f>
        <v>0.17935434081384358</v>
      </c>
      <c r="G589" s="338">
        <f t="shared" ref="G589:G613" si="243">IF(VIN_nom&gt;Vout, 1, SQRT(1+(A589/z_RHP)^2))</f>
        <v>1</v>
      </c>
      <c r="H589" s="339">
        <f t="shared" ref="H589:H613" si="244">IF(VIN_nom&gt;Vout, 0, -ATAN(A589/z_RHP))</f>
        <v>0</v>
      </c>
      <c r="I589" s="337">
        <f t="shared" ref="I589:I613" si="245">SQRT(1+(A589/Pole2)^2)</f>
        <v>22744.700342183023</v>
      </c>
      <c r="J589" s="340">
        <f t="shared" ref="J589:J613" si="246">ATAN(A589/Pole2)</f>
        <v>1.5707523605088924</v>
      </c>
      <c r="K589" s="348">
        <f t="shared" si="236"/>
        <v>21.468374859431737</v>
      </c>
      <c r="L589" s="349">
        <f t="shared" si="237"/>
        <v>1.5241993217403549</v>
      </c>
      <c r="M589" s="337">
        <f t="shared" ref="M589:M613" si="247">SQRT(1+(A589/pole4)^2)</f>
        <v>1.0413338180773073</v>
      </c>
      <c r="N589" s="340">
        <f t="shared" ref="N589:N613" si="248">ATAN(A589/pole4)</f>
        <v>0.28269614483813815</v>
      </c>
      <c r="O589" s="341">
        <f t="shared" ref="O589:O613" si="249">SQRT((1-(V589/pterm2))^2+(A589/pterm1)^2)</f>
        <v>0.99647827016207935</v>
      </c>
      <c r="P589" s="342">
        <f t="shared" ref="P589:P613" si="250">IF((ATAN((A589/pterm1)/(1-A589^2/pterm2))&gt;0),ATAN((A589/pterm1)/(1-A589^2/pterm2)),PI()+ATAN((A589/pterm1)/(1-A589^2/pterm2)))</f>
        <v>0.14827196434788598</v>
      </c>
      <c r="Q589" s="343">
        <f t="shared" ref="Q589:Q613" si="251">20*LOG10(((E589*K589*G589)/(C589*I589*O589*M589))*Adc)</f>
        <v>-6.2050486009402412</v>
      </c>
      <c r="R589" s="344">
        <f t="shared" ref="R589:R613" si="252">((F589+L589+H589)-(D589+J589+P589+N589))*radconv</f>
        <v>-106.84357909614246</v>
      </c>
      <c r="S589" s="346">
        <f t="shared" ref="S589:S613" si="253">IF(R589&gt;0,R589,R589+180)</f>
        <v>73.156420903857537</v>
      </c>
      <c r="U589" s="319">
        <f t="shared" si="233"/>
        <v>120230</v>
      </c>
      <c r="V589" s="319">
        <f t="shared" si="234"/>
        <v>14455252900</v>
      </c>
      <c r="X589" s="345">
        <f t="shared" ref="X589:X613" si="254">20*LOG10((K589/(I589*M589))*AEA)</f>
        <v>36.853803956753026</v>
      </c>
      <c r="Y589" s="346">
        <f t="shared" ref="Y589:Y613" si="255">(L589-(J589+N589))*radconv</f>
        <v>-18.864588650346388</v>
      </c>
      <c r="AA589" s="345">
        <f t="shared" ref="AA589:AA613" si="256">20*LOG10((E589*G589/(C589*O589))*Acs*Am)</f>
        <v>13.739194455223496</v>
      </c>
      <c r="AB589" s="346">
        <f t="shared" ref="AB589:AB613" si="257">(F589+H589-(D589+P589))*radconv</f>
        <v>-87.978990445796114</v>
      </c>
      <c r="AD589">
        <f t="shared" si="235"/>
        <v>0</v>
      </c>
      <c r="AE589">
        <f t="shared" si="238"/>
        <v>0</v>
      </c>
    </row>
    <row r="590" spans="1:31" x14ac:dyDescent="0.2">
      <c r="A590" s="347">
        <v>126030</v>
      </c>
      <c r="B590" s="364">
        <f t="shared" ref="B590:B613" si="258">A590/1000</f>
        <v>126.03</v>
      </c>
      <c r="C590" s="337">
        <f t="shared" si="239"/>
        <v>250.12385332391182</v>
      </c>
      <c r="D590" s="338">
        <f t="shared" si="240"/>
        <v>1.5667982968159222</v>
      </c>
      <c r="E590" s="338">
        <f t="shared" si="241"/>
        <v>1.0178990775573544</v>
      </c>
      <c r="F590" s="339">
        <f t="shared" si="242"/>
        <v>0.18780900950953211</v>
      </c>
      <c r="G590" s="338">
        <f t="shared" si="243"/>
        <v>1</v>
      </c>
      <c r="H590" s="339">
        <f t="shared" si="244"/>
        <v>0</v>
      </c>
      <c r="I590" s="337">
        <f t="shared" si="245"/>
        <v>23841.924510323461</v>
      </c>
      <c r="J590" s="340">
        <f t="shared" si="246"/>
        <v>1.5707543838720484</v>
      </c>
      <c r="K590" s="348">
        <f t="shared" si="236"/>
        <v>22.501832507864066</v>
      </c>
      <c r="L590" s="349">
        <f t="shared" si="237"/>
        <v>1.5263408604667601</v>
      </c>
      <c r="M590" s="337">
        <f t="shared" si="247"/>
        <v>1.0453292469134834</v>
      </c>
      <c r="N590" s="340">
        <f t="shared" si="248"/>
        <v>0.29556956206513374</v>
      </c>
      <c r="O590" s="341">
        <f t="shared" si="249"/>
        <v>0.99614100323648613</v>
      </c>
      <c r="P590" s="342">
        <f t="shared" si="250"/>
        <v>0.15553462997901704</v>
      </c>
      <c r="Q590" s="343">
        <f t="shared" si="251"/>
        <v>-6.6317980454392877</v>
      </c>
      <c r="R590" s="344">
        <f t="shared" si="252"/>
        <v>-107.4013400483507</v>
      </c>
      <c r="S590" s="346">
        <f t="shared" si="253"/>
        <v>72.598659951649296</v>
      </c>
      <c r="U590" s="319">
        <f t="shared" ref="U590:U613" si="259">IF(Q590&lt;0,A590,1000000000)</f>
        <v>126030</v>
      </c>
      <c r="V590" s="319">
        <f t="shared" ref="V590:V613" si="260">A590^2</f>
        <v>15883560900</v>
      </c>
      <c r="X590" s="345">
        <f t="shared" si="254"/>
        <v>36.819693952562048</v>
      </c>
      <c r="Y590" s="346">
        <f t="shared" si="255"/>
        <v>-19.479595925549404</v>
      </c>
      <c r="AA590" s="345">
        <f t="shared" si="256"/>
        <v>13.346555014915422</v>
      </c>
      <c r="AB590" s="346">
        <f t="shared" si="257"/>
        <v>-87.921744122801286</v>
      </c>
      <c r="AD590">
        <f t="shared" ref="AD590:AD613" si="261">SUM((Q591&lt;0)*(Q590&gt;0))*A590</f>
        <v>0</v>
      </c>
      <c r="AE590">
        <f t="shared" si="238"/>
        <v>0</v>
      </c>
    </row>
    <row r="591" spans="1:31" x14ac:dyDescent="0.2">
      <c r="A591" s="347">
        <v>131830</v>
      </c>
      <c r="B591" s="364">
        <f t="shared" si="258"/>
        <v>131.83000000000001</v>
      </c>
      <c r="C591" s="337">
        <f t="shared" si="239"/>
        <v>261.63457038223385</v>
      </c>
      <c r="D591" s="338">
        <f t="shared" si="240"/>
        <v>1.5669741926123681</v>
      </c>
      <c r="E591" s="338">
        <f t="shared" si="241"/>
        <v>1.0195682589546016</v>
      </c>
      <c r="F591" s="339">
        <f t="shared" si="242"/>
        <v>0.19623659596803697</v>
      </c>
      <c r="G591" s="338">
        <f t="shared" si="243"/>
        <v>1</v>
      </c>
      <c r="H591" s="339">
        <f t="shared" si="244"/>
        <v>0</v>
      </c>
      <c r="I591" s="337">
        <f t="shared" si="245"/>
        <v>24939.14867855292</v>
      </c>
      <c r="J591" s="340">
        <f t="shared" si="246"/>
        <v>1.5707562291952089</v>
      </c>
      <c r="K591" s="348">
        <f t="shared" si="236"/>
        <v>23.535384290690338</v>
      </c>
      <c r="L591" s="349">
        <f t="shared" si="237"/>
        <v>1.528294317002032</v>
      </c>
      <c r="M591" s="337">
        <f t="shared" si="247"/>
        <v>1.0494965771081097</v>
      </c>
      <c r="N591" s="340">
        <f t="shared" si="248"/>
        <v>0.30834284714994059</v>
      </c>
      <c r="O591" s="341">
        <f t="shared" si="249"/>
        <v>0.99578992274863687</v>
      </c>
      <c r="P591" s="342">
        <f t="shared" si="250"/>
        <v>0.16281278264276883</v>
      </c>
      <c r="Q591" s="343">
        <f t="shared" si="251"/>
        <v>-7.0406015616774065</v>
      </c>
      <c r="R591" s="344">
        <f t="shared" si="252"/>
        <v>-107.96559667066927</v>
      </c>
      <c r="S591" s="346">
        <f t="shared" si="253"/>
        <v>72.034403329330729</v>
      </c>
      <c r="U591" s="319">
        <f t="shared" si="259"/>
        <v>131830</v>
      </c>
      <c r="V591" s="319">
        <f t="shared" si="260"/>
        <v>17379148900</v>
      </c>
      <c r="X591" s="345">
        <f t="shared" si="254"/>
        <v>36.784397263095215</v>
      </c>
      <c r="Y591" s="346">
        <f t="shared" si="255"/>
        <v>-20.099632166430336</v>
      </c>
      <c r="AA591" s="345">
        <f t="shared" si="256"/>
        <v>12.973048188144139</v>
      </c>
      <c r="AB591" s="346">
        <f t="shared" si="257"/>
        <v>-87.865964504238946</v>
      </c>
      <c r="AD591">
        <f t="shared" si="261"/>
        <v>0</v>
      </c>
      <c r="AE591">
        <f t="shared" si="238"/>
        <v>0</v>
      </c>
    </row>
    <row r="592" spans="1:31" x14ac:dyDescent="0.2">
      <c r="A592" s="347">
        <v>144540</v>
      </c>
      <c r="B592" s="364">
        <f t="shared" si="258"/>
        <v>144.54</v>
      </c>
      <c r="C592" s="337">
        <f t="shared" si="239"/>
        <v>286.8589422718477</v>
      </c>
      <c r="D592" s="338">
        <f t="shared" si="240"/>
        <v>1.5673102858247365</v>
      </c>
      <c r="E592" s="338">
        <f t="shared" si="241"/>
        <v>1.0234779323815228</v>
      </c>
      <c r="F592" s="339">
        <f t="shared" si="242"/>
        <v>0.21460478295400329</v>
      </c>
      <c r="G592" s="338">
        <f t="shared" si="243"/>
        <v>1</v>
      </c>
      <c r="H592" s="339">
        <f t="shared" si="244"/>
        <v>0</v>
      </c>
      <c r="I592" s="337">
        <f t="shared" si="245"/>
        <v>27343.583019880192</v>
      </c>
      <c r="J592" s="340">
        <f t="shared" si="246"/>
        <v>1.5707597551429848</v>
      </c>
      <c r="K592" s="348">
        <f t="shared" si="236"/>
        <v>25.800562179734133</v>
      </c>
      <c r="L592" s="349">
        <f t="shared" si="237"/>
        <v>1.5320277706246055</v>
      </c>
      <c r="M592" s="337">
        <f t="shared" si="247"/>
        <v>1.0592198422663019</v>
      </c>
      <c r="N592" s="340">
        <f t="shared" si="248"/>
        <v>0.33596964773019949</v>
      </c>
      <c r="O592" s="341">
        <f t="shared" si="249"/>
        <v>0.99497369929646562</v>
      </c>
      <c r="P592" s="342">
        <f t="shared" si="250"/>
        <v>0.17881955728591586</v>
      </c>
      <c r="Q592" s="343">
        <f t="shared" si="251"/>
        <v>-7.881120898022834</v>
      </c>
      <c r="R592" s="344">
        <f t="shared" si="252"/>
        <v>-109.21874439480277</v>
      </c>
      <c r="S592" s="346">
        <f t="shared" si="253"/>
        <v>70.781255605197231</v>
      </c>
      <c r="U592" s="319">
        <f t="shared" si="259"/>
        <v>144540</v>
      </c>
      <c r="V592" s="319">
        <f t="shared" si="260"/>
        <v>20891811600</v>
      </c>
      <c r="X592" s="345">
        <f t="shared" si="254"/>
        <v>36.702977175459239</v>
      </c>
      <c r="Y592" s="346">
        <f t="shared" si="255"/>
        <v>-21.46882212903833</v>
      </c>
      <c r="AA592" s="345">
        <f t="shared" si="256"/>
        <v>12.213948939434683</v>
      </c>
      <c r="AB592" s="346">
        <f t="shared" si="257"/>
        <v>-87.749922265764411</v>
      </c>
      <c r="AD592">
        <f t="shared" si="261"/>
        <v>0</v>
      </c>
      <c r="AE592">
        <f t="shared" si="238"/>
        <v>0</v>
      </c>
    </row>
    <row r="593" spans="1:31" x14ac:dyDescent="0.2">
      <c r="A593" s="347">
        <v>158490</v>
      </c>
      <c r="B593" s="364">
        <f t="shared" si="258"/>
        <v>158.49</v>
      </c>
      <c r="C593" s="337">
        <f t="shared" si="239"/>
        <v>314.5442595173501</v>
      </c>
      <c r="D593" s="338">
        <f t="shared" si="240"/>
        <v>1.5676171186093866</v>
      </c>
      <c r="E593" s="338">
        <f t="shared" si="241"/>
        <v>1.0281632673020897</v>
      </c>
      <c r="F593" s="339">
        <f t="shared" si="242"/>
        <v>0.23459666496358689</v>
      </c>
      <c r="G593" s="338">
        <f t="shared" si="243"/>
        <v>1</v>
      </c>
      <c r="H593" s="339">
        <f t="shared" si="244"/>
        <v>0</v>
      </c>
      <c r="I593" s="337">
        <f t="shared" si="245"/>
        <v>29982.596321662444</v>
      </c>
      <c r="J593" s="340">
        <f t="shared" si="246"/>
        <v>1.5707629741129121</v>
      </c>
      <c r="K593" s="348">
        <f t="shared" si="236"/>
        <v>28.28707746223731</v>
      </c>
      <c r="L593" s="349">
        <f t="shared" si="237"/>
        <v>1.5354371275081016</v>
      </c>
      <c r="M593" s="337">
        <f t="shared" si="247"/>
        <v>1.070804126445255</v>
      </c>
      <c r="N593" s="340">
        <f t="shared" si="248"/>
        <v>0.36568897171622755</v>
      </c>
      <c r="O593" s="341">
        <f t="shared" si="249"/>
        <v>0.9940069952434526</v>
      </c>
      <c r="P593" s="342">
        <f t="shared" si="250"/>
        <v>0.19648619716685811</v>
      </c>
      <c r="Q593" s="343">
        <f t="shared" si="251"/>
        <v>-8.728849748120199</v>
      </c>
      <c r="R593" s="344">
        <f t="shared" si="252"/>
        <v>-110.6107325671472</v>
      </c>
      <c r="S593" s="346">
        <f t="shared" si="253"/>
        <v>69.389267432852805</v>
      </c>
      <c r="U593" s="319">
        <f t="shared" si="259"/>
        <v>158490</v>
      </c>
      <c r="V593" s="319">
        <f t="shared" si="260"/>
        <v>25119080100</v>
      </c>
      <c r="X593" s="345">
        <f t="shared" si="254"/>
        <v>36.607400521991458</v>
      </c>
      <c r="Y593" s="346">
        <f t="shared" si="255"/>
        <v>-22.976456638255389</v>
      </c>
      <c r="AA593" s="345">
        <f t="shared" si="256"/>
        <v>11.461796742805104</v>
      </c>
      <c r="AB593" s="346">
        <f t="shared" si="257"/>
        <v>-87.634275928891796</v>
      </c>
      <c r="AD593">
        <f t="shared" si="261"/>
        <v>0</v>
      </c>
      <c r="AE593">
        <f t="shared" si="238"/>
        <v>0</v>
      </c>
    </row>
    <row r="594" spans="1:31" x14ac:dyDescent="0.2">
      <c r="A594" s="347">
        <v>173780</v>
      </c>
      <c r="B594" s="364">
        <f t="shared" si="258"/>
        <v>173.78</v>
      </c>
      <c r="C594" s="337">
        <f t="shared" si="239"/>
        <v>344.88898319998322</v>
      </c>
      <c r="D594" s="338">
        <f t="shared" si="240"/>
        <v>1.56789683898901</v>
      </c>
      <c r="E594" s="338">
        <f t="shared" si="241"/>
        <v>1.0337660922461456</v>
      </c>
      <c r="F594" s="339">
        <f t="shared" si="242"/>
        <v>0.25629109751863338</v>
      </c>
      <c r="G594" s="338">
        <f t="shared" si="243"/>
        <v>1</v>
      </c>
      <c r="H594" s="339">
        <f t="shared" si="244"/>
        <v>0</v>
      </c>
      <c r="I594" s="337">
        <f t="shared" si="245"/>
        <v>32875.106241977235</v>
      </c>
      <c r="J594" s="340">
        <f t="shared" si="246"/>
        <v>1.5707659086422436</v>
      </c>
      <c r="K594" s="348">
        <f t="shared" si="236"/>
        <v>31.012755024989666</v>
      </c>
      <c r="L594" s="349">
        <f t="shared" si="237"/>
        <v>1.5385459392318646</v>
      </c>
      <c r="M594" s="337">
        <f t="shared" si="247"/>
        <v>1.0845626330287017</v>
      </c>
      <c r="N594" s="340">
        <f t="shared" si="248"/>
        <v>0.39750258539395034</v>
      </c>
      <c r="O594" s="341">
        <f t="shared" si="249"/>
        <v>0.99286776086338246</v>
      </c>
      <c r="P594" s="342">
        <f t="shared" si="250"/>
        <v>0.21597905205418702</v>
      </c>
      <c r="Q594" s="343">
        <f t="shared" si="251"/>
        <v>-9.5834414948616793</v>
      </c>
      <c r="R594" s="344">
        <f t="shared" si="252"/>
        <v>-112.14545039733295</v>
      </c>
      <c r="S594" s="346">
        <f t="shared" si="253"/>
        <v>67.854549602667049</v>
      </c>
      <c r="U594" s="319">
        <f t="shared" si="259"/>
        <v>173780</v>
      </c>
      <c r="V594" s="319">
        <f t="shared" si="260"/>
        <v>30199488400</v>
      </c>
      <c r="X594" s="345">
        <f t="shared" si="254"/>
        <v>36.495595324627232</v>
      </c>
      <c r="Y594" s="346">
        <f t="shared" si="255"/>
        <v>-24.621288780001208</v>
      </c>
      <c r="AA594" s="345">
        <f t="shared" si="256"/>
        <v>10.719010193427845</v>
      </c>
      <c r="AB594" s="346">
        <f t="shared" si="257"/>
        <v>-87.524161617331714</v>
      </c>
      <c r="AD594">
        <f t="shared" si="261"/>
        <v>0</v>
      </c>
      <c r="AE594">
        <f t="shared" si="238"/>
        <v>0</v>
      </c>
    </row>
    <row r="595" spans="1:31" x14ac:dyDescent="0.2">
      <c r="A595" s="347">
        <v>190550</v>
      </c>
      <c r="B595" s="364">
        <f t="shared" si="258"/>
        <v>190.55</v>
      </c>
      <c r="C595" s="337">
        <f t="shared" si="239"/>
        <v>378.17095905209578</v>
      </c>
      <c r="D595" s="338">
        <f t="shared" si="240"/>
        <v>1.5681520170152583</v>
      </c>
      <c r="E595" s="338">
        <f t="shared" si="241"/>
        <v>1.0404642171144296</v>
      </c>
      <c r="F595" s="339">
        <f t="shared" si="242"/>
        <v>0.27980446111660484</v>
      </c>
      <c r="G595" s="338">
        <f t="shared" si="243"/>
        <v>1</v>
      </c>
      <c r="H595" s="339">
        <f t="shared" si="244"/>
        <v>0</v>
      </c>
      <c r="I595" s="337">
        <f t="shared" si="245"/>
        <v>36047.597502135439</v>
      </c>
      <c r="J595" s="340">
        <f t="shared" si="246"/>
        <v>1.570768585695089</v>
      </c>
      <c r="K595" s="348">
        <f t="shared" si="236"/>
        <v>34.002552061279722</v>
      </c>
      <c r="L595" s="349">
        <f t="shared" si="237"/>
        <v>1.5413825284420837</v>
      </c>
      <c r="M595" s="337">
        <f t="shared" si="247"/>
        <v>1.1008812070398151</v>
      </c>
      <c r="N595" s="340">
        <f t="shared" si="248"/>
        <v>0.43144308898268002</v>
      </c>
      <c r="O595" s="341">
        <f t="shared" si="249"/>
        <v>0.9915304357858582</v>
      </c>
      <c r="P595" s="342">
        <f t="shared" si="250"/>
        <v>0.23752863819192593</v>
      </c>
      <c r="Q595" s="343">
        <f t="shared" si="251"/>
        <v>-10.446290357477679</v>
      </c>
      <c r="R595" s="344">
        <f t="shared" si="252"/>
        <v>-113.82983126686639</v>
      </c>
      <c r="S595" s="346">
        <f t="shared" si="253"/>
        <v>66.170168733133607</v>
      </c>
      <c r="U595" s="319">
        <f t="shared" si="259"/>
        <v>190550</v>
      </c>
      <c r="V595" s="319">
        <f t="shared" si="260"/>
        <v>36309302500</v>
      </c>
      <c r="X595" s="345">
        <f t="shared" si="254"/>
        <v>36.365119021160297</v>
      </c>
      <c r="Y595" s="346">
        <f t="shared" si="255"/>
        <v>-26.403565186092276</v>
      </c>
      <c r="AA595" s="345">
        <f t="shared" si="256"/>
        <v>9.9866376342787895</v>
      </c>
      <c r="AB595" s="346">
        <f t="shared" si="257"/>
        <v>-87.426266080774113</v>
      </c>
      <c r="AD595">
        <f t="shared" si="261"/>
        <v>0</v>
      </c>
      <c r="AE595">
        <f t="shared" si="238"/>
        <v>0</v>
      </c>
    </row>
    <row r="596" spans="1:31" x14ac:dyDescent="0.2">
      <c r="A596" s="347">
        <v>208930</v>
      </c>
      <c r="B596" s="364">
        <f t="shared" si="258"/>
        <v>208.93</v>
      </c>
      <c r="C596" s="337">
        <f t="shared" si="239"/>
        <v>414.64818688117572</v>
      </c>
      <c r="D596" s="338">
        <f t="shared" si="240"/>
        <v>1.568384641416761</v>
      </c>
      <c r="E596" s="338">
        <f t="shared" si="241"/>
        <v>1.0484570493244094</v>
      </c>
      <c r="F596" s="339">
        <f t="shared" si="242"/>
        <v>0.30521451347556222</v>
      </c>
      <c r="G596" s="338">
        <f t="shared" si="243"/>
        <v>1</v>
      </c>
      <c r="H596" s="339">
        <f t="shared" si="244"/>
        <v>0</v>
      </c>
      <c r="I596" s="337">
        <f t="shared" si="245"/>
        <v>39524.663057642108</v>
      </c>
      <c r="J596" s="340">
        <f t="shared" si="246"/>
        <v>1.5707710261364534</v>
      </c>
      <c r="K596" s="348">
        <f t="shared" si="236"/>
        <v>37.279645301743741</v>
      </c>
      <c r="L596" s="349">
        <f t="shared" si="237"/>
        <v>1.5439688193305985</v>
      </c>
      <c r="M596" s="337">
        <f t="shared" si="247"/>
        <v>1.120177521413019</v>
      </c>
      <c r="N596" s="340">
        <f t="shared" si="248"/>
        <v>0.46746021260227461</v>
      </c>
      <c r="O596" s="341">
        <f t="shared" si="249"/>
        <v>0.98997080886851885</v>
      </c>
      <c r="P596" s="342">
        <f t="shared" si="250"/>
        <v>0.26137018553000863</v>
      </c>
      <c r="Q596" s="343">
        <f t="shared" si="251"/>
        <v>-11.317538934315522</v>
      </c>
      <c r="R596" s="344">
        <f t="shared" si="252"/>
        <v>-115.66887639563346</v>
      </c>
      <c r="S596" s="346">
        <f t="shared" si="253"/>
        <v>64.331123604366539</v>
      </c>
      <c r="U596" s="319">
        <f t="shared" si="259"/>
        <v>208930</v>
      </c>
      <c r="V596" s="319">
        <f t="shared" si="260"/>
        <v>43651744900</v>
      </c>
      <c r="X596" s="345">
        <f t="shared" si="254"/>
        <v>36.213559237364009</v>
      </c>
      <c r="Y596" s="346">
        <f t="shared" si="255"/>
        <v>-28.319150636370157</v>
      </c>
      <c r="AA596" s="345">
        <f t="shared" si="256"/>
        <v>9.2669488412372321</v>
      </c>
      <c r="AB596" s="346">
        <f t="shared" si="257"/>
        <v>-87.349725759263322</v>
      </c>
      <c r="AD596">
        <f t="shared" si="261"/>
        <v>0</v>
      </c>
      <c r="AE596">
        <f t="shared" si="238"/>
        <v>0</v>
      </c>
    </row>
    <row r="597" spans="1:31" x14ac:dyDescent="0.2">
      <c r="A597" s="347">
        <v>229090</v>
      </c>
      <c r="B597" s="364">
        <f t="shared" si="258"/>
        <v>229.09</v>
      </c>
      <c r="C597" s="337">
        <f t="shared" si="239"/>
        <v>454.65805127236348</v>
      </c>
      <c r="D597" s="338">
        <f t="shared" si="240"/>
        <v>1.5685968698547403</v>
      </c>
      <c r="E597" s="338">
        <f t="shared" si="241"/>
        <v>1.0579897551626036</v>
      </c>
      <c r="F597" s="339">
        <f t="shared" si="242"/>
        <v>0.33262419014745948</v>
      </c>
      <c r="G597" s="338">
        <f t="shared" si="243"/>
        <v>1</v>
      </c>
      <c r="H597" s="339">
        <f t="shared" si="244"/>
        <v>0</v>
      </c>
      <c r="I597" s="337">
        <f t="shared" si="245"/>
        <v>43338.462927236927</v>
      </c>
      <c r="J597" s="340">
        <f t="shared" si="246"/>
        <v>1.5707732526032308</v>
      </c>
      <c r="K597" s="348">
        <f t="shared" si="236"/>
        <v>40.874345202521695</v>
      </c>
      <c r="L597" s="349">
        <f t="shared" si="237"/>
        <v>1.5463286618137029</v>
      </c>
      <c r="M597" s="337">
        <f t="shared" si="247"/>
        <v>1.1429530630889764</v>
      </c>
      <c r="N597" s="340">
        <f t="shared" si="248"/>
        <v>0.50551217156434047</v>
      </c>
      <c r="O597" s="341">
        <f t="shared" si="249"/>
        <v>0.98816410806001587</v>
      </c>
      <c r="P597" s="342">
        <f t="shared" si="250"/>
        <v>0.28781351077981276</v>
      </c>
      <c r="Q597" s="343">
        <f t="shared" si="251"/>
        <v>-12.198515281856261</v>
      </c>
      <c r="R597" s="344">
        <f t="shared" si="252"/>
        <v>-117.67080353698088</v>
      </c>
      <c r="S597" s="346">
        <f t="shared" si="253"/>
        <v>62.329196463019116</v>
      </c>
      <c r="U597" s="319">
        <f t="shared" si="259"/>
        <v>229090</v>
      </c>
      <c r="V597" s="319">
        <f t="shared" si="260"/>
        <v>52482228100</v>
      </c>
      <c r="X597" s="345">
        <f t="shared" si="254"/>
        <v>36.038202566546772</v>
      </c>
      <c r="Y597" s="346">
        <f t="shared" si="255"/>
        <v>-30.364285841990458</v>
      </c>
      <c r="AA597" s="345">
        <f t="shared" si="256"/>
        <v>8.5613291645137295</v>
      </c>
      <c r="AB597" s="346">
        <f t="shared" si="257"/>
        <v>-87.306517694990404</v>
      </c>
      <c r="AD597">
        <f t="shared" si="261"/>
        <v>0</v>
      </c>
      <c r="AE597">
        <f t="shared" si="238"/>
        <v>0</v>
      </c>
    </row>
    <row r="598" spans="1:31" x14ac:dyDescent="0.2">
      <c r="A598" s="347">
        <v>251190</v>
      </c>
      <c r="B598" s="364">
        <f t="shared" si="258"/>
        <v>251.19</v>
      </c>
      <c r="C598" s="337">
        <f t="shared" si="239"/>
        <v>498.51809083517333</v>
      </c>
      <c r="D598" s="338">
        <f t="shared" si="240"/>
        <v>1.5687903801923131</v>
      </c>
      <c r="E598" s="338">
        <f t="shared" si="241"/>
        <v>1.0693355542233822</v>
      </c>
      <c r="F598" s="339">
        <f t="shared" si="242"/>
        <v>0.36208541109788761</v>
      </c>
      <c r="G598" s="338">
        <f t="shared" si="243"/>
        <v>1</v>
      </c>
      <c r="H598" s="339">
        <f t="shared" si="244"/>
        <v>0</v>
      </c>
      <c r="I598" s="337">
        <f t="shared" si="245"/>
        <v>47519.265363853228</v>
      </c>
      <c r="J598" s="340">
        <f t="shared" si="246"/>
        <v>1.5707752826985197</v>
      </c>
      <c r="K598" s="348">
        <f t="shared" si="236"/>
        <v>44.815181203320698</v>
      </c>
      <c r="L598" s="349">
        <f t="shared" si="237"/>
        <v>1.548480607511298</v>
      </c>
      <c r="M598" s="337">
        <f t="shared" si="247"/>
        <v>1.169742413600106</v>
      </c>
      <c r="N598" s="340">
        <f t="shared" si="248"/>
        <v>0.54545934755007408</v>
      </c>
      <c r="O598" s="341">
        <f t="shared" si="249"/>
        <v>0.9860927389882338</v>
      </c>
      <c r="P598" s="342">
        <f t="shared" si="250"/>
        <v>0.31718516113817263</v>
      </c>
      <c r="Q598" s="343">
        <f t="shared" si="251"/>
        <v>-13.089232973768814</v>
      </c>
      <c r="R598" s="344">
        <f t="shared" si="252"/>
        <v>-119.84238234533076</v>
      </c>
      <c r="S598" s="346">
        <f t="shared" si="253"/>
        <v>60.157617654669238</v>
      </c>
      <c r="U598" s="319">
        <f t="shared" si="259"/>
        <v>251190</v>
      </c>
      <c r="V598" s="319">
        <f t="shared" si="260"/>
        <v>63096416100</v>
      </c>
      <c r="X598" s="345">
        <f t="shared" si="254"/>
        <v>35.836528432295452</v>
      </c>
      <c r="Y598" s="346">
        <f t="shared" si="255"/>
        <v>-32.529909341592457</v>
      </c>
      <c r="AA598" s="345">
        <f t="shared" si="256"/>
        <v>7.872285606852496</v>
      </c>
      <c r="AB598" s="346">
        <f t="shared" si="257"/>
        <v>-87.31247300373829</v>
      </c>
      <c r="AD598">
        <f t="shared" si="261"/>
        <v>0</v>
      </c>
      <c r="AE598">
        <f t="shared" si="238"/>
        <v>0</v>
      </c>
    </row>
    <row r="599" spans="1:31" x14ac:dyDescent="0.2">
      <c r="A599" s="347">
        <v>275420</v>
      </c>
      <c r="B599" s="364">
        <f t="shared" si="258"/>
        <v>275.42</v>
      </c>
      <c r="C599" s="337">
        <f t="shared" si="239"/>
        <v>546.60538282465961</v>
      </c>
      <c r="D599" s="338">
        <f t="shared" si="240"/>
        <v>1.5689668523893172</v>
      </c>
      <c r="E599" s="338">
        <f t="shared" si="241"/>
        <v>1.0828174693131067</v>
      </c>
      <c r="F599" s="339">
        <f t="shared" si="242"/>
        <v>0.39364616467134628</v>
      </c>
      <c r="G599" s="338">
        <f t="shared" si="243"/>
        <v>1</v>
      </c>
      <c r="H599" s="339">
        <f t="shared" si="244"/>
        <v>0</v>
      </c>
      <c r="I599" s="337">
        <f t="shared" si="245"/>
        <v>52103.013917850985</v>
      </c>
      <c r="J599" s="340">
        <f t="shared" si="246"/>
        <v>1.5707771340472056</v>
      </c>
      <c r="K599" s="348">
        <f t="shared" ref="K599:K613" si="262">SQRT(1+(A599/Zero2)^2)</f>
        <v>49.136033733918119</v>
      </c>
      <c r="L599" s="349">
        <f t="shared" ref="L599:L613" si="263">ATAN(A599/Zero2)</f>
        <v>1.5504432586172101</v>
      </c>
      <c r="M599" s="337">
        <f t="shared" si="247"/>
        <v>1.2011564217838899</v>
      </c>
      <c r="N599" s="340">
        <f t="shared" si="248"/>
        <v>0.58713537035114327</v>
      </c>
      <c r="O599" s="341">
        <f t="shared" si="249"/>
        <v>0.98374848370544654</v>
      </c>
      <c r="P599" s="342">
        <f t="shared" si="250"/>
        <v>0.34988928379413992</v>
      </c>
      <c r="Q599" s="343">
        <f t="shared" si="251"/>
        <v>-13.990144314660045</v>
      </c>
      <c r="R599" s="344">
        <f t="shared" si="252"/>
        <v>-122.19351834579345</v>
      </c>
      <c r="S599" s="346">
        <f t="shared" si="253"/>
        <v>57.80648165420655</v>
      </c>
      <c r="U599" s="319">
        <f t="shared" si="259"/>
        <v>275420</v>
      </c>
      <c r="V599" s="319">
        <f t="shared" si="260"/>
        <v>75856176400</v>
      </c>
      <c r="X599" s="345">
        <f t="shared" si="254"/>
        <v>35.605978076565357</v>
      </c>
      <c r="Y599" s="346">
        <f t="shared" si="255"/>
        <v>-34.805424007025536</v>
      </c>
      <c r="AA599" s="345">
        <f t="shared" si="256"/>
        <v>7.2019246216913615</v>
      </c>
      <c r="AB599" s="346">
        <f t="shared" si="257"/>
        <v>-87.388094338767914</v>
      </c>
      <c r="AD599">
        <f t="shared" si="261"/>
        <v>0</v>
      </c>
      <c r="AE599">
        <f t="shared" si="238"/>
        <v>0</v>
      </c>
    </row>
    <row r="600" spans="1:31" x14ac:dyDescent="0.2">
      <c r="A600" s="347">
        <v>302000</v>
      </c>
      <c r="B600" s="364">
        <f t="shared" si="258"/>
        <v>302</v>
      </c>
      <c r="C600" s="337">
        <f t="shared" si="239"/>
        <v>599.35654319063906</v>
      </c>
      <c r="D600" s="338">
        <f t="shared" si="240"/>
        <v>1.569127870055216</v>
      </c>
      <c r="E600" s="338">
        <f t="shared" si="241"/>
        <v>1.0988147980616452</v>
      </c>
      <c r="F600" s="339">
        <f t="shared" si="242"/>
        <v>0.42733984950344089</v>
      </c>
      <c r="G600" s="338">
        <f t="shared" si="243"/>
        <v>1</v>
      </c>
      <c r="H600" s="339">
        <f t="shared" si="244"/>
        <v>0</v>
      </c>
      <c r="I600" s="337">
        <f t="shared" si="245"/>
        <v>57131.327437017295</v>
      </c>
      <c r="J600" s="340">
        <f t="shared" si="246"/>
        <v>1.5707788232632107</v>
      </c>
      <c r="K600" s="348">
        <f t="shared" si="262"/>
        <v>53.876134763954738</v>
      </c>
      <c r="L600" s="349">
        <f t="shared" si="263"/>
        <v>1.5522341669012818</v>
      </c>
      <c r="M600" s="337">
        <f t="shared" si="247"/>
        <v>1.2378864469021382</v>
      </c>
      <c r="N600" s="340">
        <f t="shared" si="248"/>
        <v>0.63033764729513775</v>
      </c>
      <c r="O600" s="341">
        <f t="shared" si="249"/>
        <v>0.98114118647227655</v>
      </c>
      <c r="P600" s="342">
        <f t="shared" si="250"/>
        <v>0.38641989336674976</v>
      </c>
      <c r="Q600" s="343">
        <f t="shared" si="251"/>
        <v>-14.90186247601056</v>
      </c>
      <c r="R600" s="344">
        <f t="shared" si="252"/>
        <v>-124.73808122883352</v>
      </c>
      <c r="S600" s="346">
        <f t="shared" si="253"/>
        <v>55.261918771166478</v>
      </c>
      <c r="U600" s="319">
        <f t="shared" si="259"/>
        <v>302000</v>
      </c>
      <c r="V600" s="319">
        <f t="shared" si="260"/>
        <v>91204000000</v>
      </c>
      <c r="X600" s="345">
        <f t="shared" si="254"/>
        <v>35.344050552243893</v>
      </c>
      <c r="Y600" s="346">
        <f t="shared" si="255"/>
        <v>-37.178217442758537</v>
      </c>
      <c r="AA600" s="345">
        <f t="shared" si="256"/>
        <v>6.5521339846623015</v>
      </c>
      <c r="AB600" s="346">
        <f t="shared" si="257"/>
        <v>-87.559863786075027</v>
      </c>
      <c r="AD600">
        <f t="shared" si="261"/>
        <v>0</v>
      </c>
      <c r="AE600">
        <f t="shared" si="238"/>
        <v>0</v>
      </c>
    </row>
    <row r="601" spans="1:31" x14ac:dyDescent="0.2">
      <c r="A601" s="347">
        <v>331130</v>
      </c>
      <c r="B601" s="364">
        <f t="shared" si="258"/>
        <v>331.13</v>
      </c>
      <c r="C601" s="337">
        <f t="shared" si="239"/>
        <v>657.16849563705023</v>
      </c>
      <c r="D601" s="338">
        <f t="shared" si="240"/>
        <v>1.5692746464457052</v>
      </c>
      <c r="E601" s="338">
        <f t="shared" si="241"/>
        <v>1.1177355328829879</v>
      </c>
      <c r="F601" s="339">
        <f t="shared" si="242"/>
        <v>0.46311328683035285</v>
      </c>
      <c r="G601" s="338">
        <f t="shared" si="243"/>
        <v>1</v>
      </c>
      <c r="H601" s="339">
        <f t="shared" si="244"/>
        <v>0</v>
      </c>
      <c r="I601" s="337">
        <f t="shared" si="245"/>
        <v>62642.041237523466</v>
      </c>
      <c r="J601" s="340">
        <f t="shared" si="246"/>
        <v>1.5707803630750004</v>
      </c>
      <c r="K601" s="348">
        <f t="shared" si="262"/>
        <v>59.071150975664544</v>
      </c>
      <c r="L601" s="349">
        <f t="shared" si="263"/>
        <v>1.5538667807587252</v>
      </c>
      <c r="M601" s="337">
        <f t="shared" si="247"/>
        <v>1.2806311444368383</v>
      </c>
      <c r="N601" s="340">
        <f t="shared" si="248"/>
        <v>0.67474708853479415</v>
      </c>
      <c r="O601" s="341">
        <f t="shared" si="249"/>
        <v>0.97831743290572593</v>
      </c>
      <c r="P601" s="342">
        <f t="shared" si="250"/>
        <v>0.42730498079242396</v>
      </c>
      <c r="Q601" s="343">
        <f t="shared" si="251"/>
        <v>-15.823483421230032</v>
      </c>
      <c r="R601" s="344">
        <f t="shared" si="252"/>
        <v>-127.49038677136966</v>
      </c>
      <c r="S601" s="346">
        <f t="shared" si="253"/>
        <v>52.509613228630343</v>
      </c>
      <c r="U601" s="319">
        <f t="shared" si="259"/>
        <v>331130</v>
      </c>
      <c r="V601" s="319">
        <f t="shared" si="260"/>
        <v>109647076900</v>
      </c>
      <c r="X601" s="345">
        <f t="shared" si="254"/>
        <v>35.048933848736532</v>
      </c>
      <c r="Y601" s="346">
        <f t="shared" si="255"/>
        <v>-39.629237340236472</v>
      </c>
      <c r="AA601" s="345">
        <f t="shared" si="256"/>
        <v>5.9256297429501963</v>
      </c>
      <c r="AB601" s="346">
        <f t="shared" si="257"/>
        <v>-87.861149431133185</v>
      </c>
      <c r="AD601">
        <f t="shared" si="261"/>
        <v>0</v>
      </c>
      <c r="AE601">
        <f t="shared" si="238"/>
        <v>0</v>
      </c>
    </row>
    <row r="602" spans="1:31" x14ac:dyDescent="0.2">
      <c r="A602" s="347">
        <v>363080</v>
      </c>
      <c r="B602" s="364">
        <f t="shared" si="258"/>
        <v>363.08</v>
      </c>
      <c r="C602" s="337">
        <f t="shared" si="239"/>
        <v>720.57708729905198</v>
      </c>
      <c r="D602" s="338">
        <f t="shared" si="240"/>
        <v>1.5694085497775399</v>
      </c>
      <c r="E602" s="338">
        <f t="shared" si="241"/>
        <v>1.1400741668762198</v>
      </c>
      <c r="F602" s="339">
        <f t="shared" si="242"/>
        <v>0.50093083192957866</v>
      </c>
      <c r="G602" s="338">
        <f t="shared" si="243"/>
        <v>1</v>
      </c>
      <c r="H602" s="339">
        <f t="shared" si="244"/>
        <v>0</v>
      </c>
      <c r="I602" s="337">
        <f t="shared" si="245"/>
        <v>68686.232996202147</v>
      </c>
      <c r="J602" s="340">
        <f t="shared" si="246"/>
        <v>1.5707817678366249</v>
      </c>
      <c r="K602" s="348">
        <f t="shared" si="262"/>
        <v>64.769233879434069</v>
      </c>
      <c r="L602" s="349">
        <f t="shared" si="263"/>
        <v>1.5553562841435844</v>
      </c>
      <c r="M602" s="337">
        <f t="shared" si="247"/>
        <v>1.3302188111862041</v>
      </c>
      <c r="N602" s="340">
        <f t="shared" si="248"/>
        <v>0.7200753830433797</v>
      </c>
      <c r="O602" s="341">
        <f t="shared" si="249"/>
        <v>0.97537269318448638</v>
      </c>
      <c r="P602" s="342">
        <f t="shared" si="250"/>
        <v>0.47324601114606363</v>
      </c>
      <c r="Q602" s="343">
        <f t="shared" si="251"/>
        <v>-16.75568266086281</v>
      </c>
      <c r="R602" s="344">
        <f t="shared" si="252"/>
        <v>-130.47535848782942</v>
      </c>
      <c r="S602" s="346">
        <f t="shared" si="253"/>
        <v>49.524641512170575</v>
      </c>
      <c r="U602" s="319">
        <f t="shared" si="259"/>
        <v>363080</v>
      </c>
      <c r="V602" s="319">
        <f t="shared" si="260"/>
        <v>131827086400</v>
      </c>
      <c r="X602" s="345">
        <f t="shared" si="254"/>
        <v>34.718743925224501</v>
      </c>
      <c r="Y602" s="346">
        <f t="shared" si="255"/>
        <v>-42.141095540364084</v>
      </c>
      <c r="AA602" s="345">
        <f t="shared" si="256"/>
        <v>5.3236204268294527</v>
      </c>
      <c r="AB602" s="346">
        <f t="shared" si="257"/>
        <v>-88.334262947465319</v>
      </c>
      <c r="AD602">
        <f t="shared" si="261"/>
        <v>0</v>
      </c>
      <c r="AE602">
        <f t="shared" ref="AE602:AE613" si="264">IF(AD602&gt;0,S602,0)</f>
        <v>0</v>
      </c>
    </row>
    <row r="603" spans="1:31" x14ac:dyDescent="0.2">
      <c r="A603" s="347">
        <v>398110</v>
      </c>
      <c r="B603" s="364">
        <f t="shared" si="258"/>
        <v>398.11</v>
      </c>
      <c r="C603" s="337">
        <f t="shared" si="239"/>
        <v>790.0983192398138</v>
      </c>
      <c r="D603" s="338">
        <f t="shared" si="240"/>
        <v>1.5695306611902069</v>
      </c>
      <c r="E603" s="338">
        <f t="shared" si="241"/>
        <v>1.1663631492190289</v>
      </c>
      <c r="F603" s="339">
        <f t="shared" si="242"/>
        <v>0.54066632837327666</v>
      </c>
      <c r="G603" s="338">
        <f t="shared" si="243"/>
        <v>1</v>
      </c>
      <c r="H603" s="339">
        <f t="shared" si="244"/>
        <v>0</v>
      </c>
      <c r="I603" s="337">
        <f t="shared" si="245"/>
        <v>75313.088624078649</v>
      </c>
      <c r="J603" s="340">
        <f t="shared" si="246"/>
        <v>1.5707830488903742</v>
      </c>
      <c r="K603" s="348">
        <f t="shared" si="262"/>
        <v>71.016752908324094</v>
      </c>
      <c r="L603" s="349">
        <f t="shared" si="263"/>
        <v>1.5567146769218583</v>
      </c>
      <c r="M603" s="337">
        <f t="shared" si="247"/>
        <v>1.3874884438710606</v>
      </c>
      <c r="N603" s="340">
        <f t="shared" si="248"/>
        <v>0.76594624707631909</v>
      </c>
      <c r="O603" s="341">
        <f t="shared" si="249"/>
        <v>0.97249061685045779</v>
      </c>
      <c r="P603" s="342">
        <f t="shared" si="250"/>
        <v>0.52502253813795452</v>
      </c>
      <c r="Q603" s="343">
        <f t="shared" si="251"/>
        <v>-17.698279257888274</v>
      </c>
      <c r="R603" s="344">
        <f t="shared" si="252"/>
        <v>-133.72270532907871</v>
      </c>
      <c r="S603" s="346">
        <f t="shared" si="253"/>
        <v>46.277294670921293</v>
      </c>
      <c r="U603" s="319">
        <f t="shared" si="259"/>
        <v>398110</v>
      </c>
      <c r="V603" s="319">
        <f t="shared" si="260"/>
        <v>158491572100</v>
      </c>
      <c r="X603" s="345">
        <f t="shared" si="254"/>
        <v>34.352443960298572</v>
      </c>
      <c r="Y603" s="346">
        <f t="shared" si="255"/>
        <v>-44.691545680841308</v>
      </c>
      <c r="AA603" s="345">
        <f t="shared" si="256"/>
        <v>4.7473237947299145</v>
      </c>
      <c r="AB603" s="346">
        <f t="shared" si="257"/>
        <v>-89.031159648237406</v>
      </c>
      <c r="AD603">
        <f t="shared" si="261"/>
        <v>0</v>
      </c>
      <c r="AE603">
        <f t="shared" si="264"/>
        <v>0</v>
      </c>
    </row>
    <row r="604" spans="1:31" x14ac:dyDescent="0.2">
      <c r="A604" s="347">
        <v>436520</v>
      </c>
      <c r="B604" s="364">
        <f t="shared" si="258"/>
        <v>436.52</v>
      </c>
      <c r="C604" s="337">
        <f t="shared" si="239"/>
        <v>866.32757740115312</v>
      </c>
      <c r="D604" s="338">
        <f t="shared" si="240"/>
        <v>1.569642028757811</v>
      </c>
      <c r="E604" s="338">
        <f t="shared" si="241"/>
        <v>1.1972058381931028</v>
      </c>
      <c r="F604" s="339">
        <f t="shared" si="242"/>
        <v>0.58215766413371084</v>
      </c>
      <c r="G604" s="338">
        <f t="shared" si="243"/>
        <v>1</v>
      </c>
      <c r="H604" s="339">
        <f t="shared" si="244"/>
        <v>0</v>
      </c>
      <c r="I604" s="337">
        <f t="shared" si="245"/>
        <v>82579.361095413959</v>
      </c>
      <c r="J604" s="340">
        <f t="shared" si="246"/>
        <v>1.5707842172316018</v>
      </c>
      <c r="K604" s="348">
        <f t="shared" si="262"/>
        <v>77.867212359319353</v>
      </c>
      <c r="L604" s="349">
        <f t="shared" si="263"/>
        <v>1.5579535980068826</v>
      </c>
      <c r="M604" s="337">
        <f t="shared" si="247"/>
        <v>1.453357949848757</v>
      </c>
      <c r="N604" s="340">
        <f t="shared" si="248"/>
        <v>0.81198172755418152</v>
      </c>
      <c r="O604" s="341">
        <f t="shared" si="249"/>
        <v>0.96998509144518608</v>
      </c>
      <c r="P604" s="342">
        <f t="shared" si="250"/>
        <v>0.58357583971286309</v>
      </c>
      <c r="Q604" s="343">
        <f t="shared" si="251"/>
        <v>-18.65220054814915</v>
      </c>
      <c r="R604" s="344">
        <f t="shared" si="252"/>
        <v>-137.27338558703826</v>
      </c>
      <c r="S604" s="346">
        <f t="shared" si="253"/>
        <v>42.726614412961737</v>
      </c>
      <c r="U604" s="319">
        <f t="shared" si="259"/>
        <v>436520</v>
      </c>
      <c r="V604" s="319">
        <f t="shared" si="260"/>
        <v>190549710400</v>
      </c>
      <c r="X604" s="345">
        <f t="shared" si="254"/>
        <v>33.949434765260847</v>
      </c>
      <c r="Y604" s="346">
        <f t="shared" si="255"/>
        <v>-47.258266414712338</v>
      </c>
      <c r="AA604" s="345">
        <f t="shared" si="256"/>
        <v>4.1964116995067675</v>
      </c>
      <c r="AB604" s="346">
        <f t="shared" si="257"/>
        <v>-90.015119172325981</v>
      </c>
      <c r="AD604">
        <f t="shared" si="261"/>
        <v>0</v>
      </c>
      <c r="AE604">
        <f t="shared" si="264"/>
        <v>0</v>
      </c>
    </row>
    <row r="605" spans="1:31" x14ac:dyDescent="0.2">
      <c r="A605" s="347">
        <v>478630</v>
      </c>
      <c r="B605" s="364">
        <f t="shared" si="258"/>
        <v>478.63</v>
      </c>
      <c r="C605" s="337">
        <f t="shared" si="239"/>
        <v>949.89994021415168</v>
      </c>
      <c r="D605" s="338">
        <f t="shared" si="240"/>
        <v>1.5697435841402485</v>
      </c>
      <c r="E605" s="338">
        <f t="shared" si="241"/>
        <v>1.233261212358862</v>
      </c>
      <c r="F605" s="339">
        <f t="shared" si="242"/>
        <v>0.62517925146448261</v>
      </c>
      <c r="G605" s="338">
        <f t="shared" si="243"/>
        <v>1</v>
      </c>
      <c r="H605" s="339">
        <f t="shared" si="244"/>
        <v>0</v>
      </c>
      <c r="I605" s="337">
        <f t="shared" si="245"/>
        <v>90545.586916087399</v>
      </c>
      <c r="J605" s="340">
        <f t="shared" si="246"/>
        <v>1.5707852826343354</v>
      </c>
      <c r="K605" s="348">
        <f t="shared" si="262"/>
        <v>85.377684516279984</v>
      </c>
      <c r="L605" s="349">
        <f t="shared" si="263"/>
        <v>1.5590833965194071</v>
      </c>
      <c r="M605" s="337">
        <f t="shared" si="247"/>
        <v>1.5287876771871252</v>
      </c>
      <c r="N605" s="340">
        <f t="shared" si="248"/>
        <v>0.85778687488665728</v>
      </c>
      <c r="O605" s="341">
        <f t="shared" si="249"/>
        <v>0.96837032691408975</v>
      </c>
      <c r="P605" s="342">
        <f t="shared" si="250"/>
        <v>0.64998396888601828</v>
      </c>
      <c r="Q605" s="343">
        <f t="shared" si="251"/>
        <v>-19.619530465196274</v>
      </c>
      <c r="R605" s="344">
        <f t="shared" si="252"/>
        <v>-141.17892441001433</v>
      </c>
      <c r="S605" s="346">
        <f t="shared" si="253"/>
        <v>38.821075589985668</v>
      </c>
      <c r="U605" s="319">
        <f t="shared" si="259"/>
        <v>478630</v>
      </c>
      <c r="V605" s="319">
        <f t="shared" si="260"/>
        <v>229086676900</v>
      </c>
      <c r="X605" s="345">
        <f t="shared" si="254"/>
        <v>33.509822615781694</v>
      </c>
      <c r="Y605" s="346">
        <f t="shared" si="255"/>
        <v>-49.818036396375383</v>
      </c>
      <c r="AA605" s="345">
        <f t="shared" si="256"/>
        <v>3.668693931938793</v>
      </c>
      <c r="AB605" s="346">
        <f t="shared" si="257"/>
        <v>-91.360888013638913</v>
      </c>
      <c r="AD605">
        <f t="shared" si="261"/>
        <v>0</v>
      </c>
      <c r="AE605">
        <f t="shared" si="264"/>
        <v>0</v>
      </c>
    </row>
    <row r="606" spans="1:31" x14ac:dyDescent="0.2">
      <c r="A606" s="347">
        <v>524810</v>
      </c>
      <c r="B606" s="364">
        <f t="shared" si="258"/>
        <v>524.80999999999995</v>
      </c>
      <c r="C606" s="337">
        <f t="shared" si="239"/>
        <v>1041.5497172076061</v>
      </c>
      <c r="D606" s="338">
        <f t="shared" si="240"/>
        <v>1.5698362188546673</v>
      </c>
      <c r="E606" s="338">
        <f t="shared" si="241"/>
        <v>1.2752669462324069</v>
      </c>
      <c r="F606" s="339">
        <f t="shared" si="242"/>
        <v>0.66947182079553103</v>
      </c>
      <c r="G606" s="338">
        <f t="shared" si="243"/>
        <v>1</v>
      </c>
      <c r="H606" s="339">
        <f t="shared" si="244"/>
        <v>0</v>
      </c>
      <c r="I606" s="337">
        <f t="shared" si="245"/>
        <v>99281.761421023024</v>
      </c>
      <c r="J606" s="340">
        <f t="shared" si="246"/>
        <v>1.5707862544514399</v>
      </c>
      <c r="K606" s="348">
        <f t="shared" si="262"/>
        <v>93.614160238087365</v>
      </c>
      <c r="L606" s="349">
        <f t="shared" si="263"/>
        <v>1.5601139789912206</v>
      </c>
      <c r="M606" s="337">
        <f t="shared" si="247"/>
        <v>1.6148294888457178</v>
      </c>
      <c r="N606" s="340">
        <f t="shared" si="248"/>
        <v>0.90299588133450037</v>
      </c>
      <c r="O606" s="341">
        <f t="shared" si="249"/>
        <v>0.96845778359822499</v>
      </c>
      <c r="P606" s="342">
        <f t="shared" si="250"/>
        <v>0.72549132771846869</v>
      </c>
      <c r="Q606" s="343">
        <f t="shared" si="251"/>
        <v>-20.605127369716154</v>
      </c>
      <c r="R606" s="344">
        <f t="shared" si="252"/>
        <v>-145.50400061033321</v>
      </c>
      <c r="S606" s="346">
        <f t="shared" si="253"/>
        <v>34.495999389666792</v>
      </c>
      <c r="U606" s="319">
        <f t="shared" si="259"/>
        <v>524810</v>
      </c>
      <c r="V606" s="319">
        <f t="shared" si="260"/>
        <v>275425536100</v>
      </c>
      <c r="X606" s="345">
        <f t="shared" si="254"/>
        <v>33.034132412580036</v>
      </c>
      <c r="Y606" s="346">
        <f t="shared" si="255"/>
        <v>-52.349329319652405</v>
      </c>
      <c r="AA606" s="345">
        <f t="shared" si="256"/>
        <v>3.158787230620574</v>
      </c>
      <c r="AB606" s="346">
        <f t="shared" si="257"/>
        <v>-93.15467129068081</v>
      </c>
      <c r="AD606">
        <f t="shared" si="261"/>
        <v>0</v>
      </c>
      <c r="AE606">
        <f t="shared" si="264"/>
        <v>0</v>
      </c>
    </row>
    <row r="607" spans="1:31" x14ac:dyDescent="0.2">
      <c r="A607" s="347">
        <v>575440</v>
      </c>
      <c r="B607" s="364">
        <f t="shared" si="258"/>
        <v>575.44000000000005</v>
      </c>
      <c r="C607" s="337">
        <f t="shared" si="239"/>
        <v>1142.031064191171</v>
      </c>
      <c r="D607" s="338">
        <f t="shared" si="240"/>
        <v>1.5699206937590324</v>
      </c>
      <c r="E607" s="338">
        <f t="shared" si="241"/>
        <v>1.324000772485709</v>
      </c>
      <c r="F607" s="339">
        <f t="shared" si="242"/>
        <v>0.71470507186202892</v>
      </c>
      <c r="G607" s="338">
        <f t="shared" si="243"/>
        <v>1</v>
      </c>
      <c r="H607" s="339">
        <f t="shared" si="244"/>
        <v>0</v>
      </c>
      <c r="I607" s="337">
        <f t="shared" si="245"/>
        <v>108859.77171095437</v>
      </c>
      <c r="J607" s="340">
        <f t="shared" si="246"/>
        <v>1.5707871406650316</v>
      </c>
      <c r="K607" s="348">
        <f t="shared" si="262"/>
        <v>102.64441477995841</v>
      </c>
      <c r="L607" s="349">
        <f t="shared" si="263"/>
        <v>1.5610538013804758</v>
      </c>
      <c r="M607" s="337">
        <f t="shared" si="247"/>
        <v>1.7125511146795127</v>
      </c>
      <c r="N607" s="340">
        <f t="shared" si="248"/>
        <v>0.94724211998032493</v>
      </c>
      <c r="O607" s="341">
        <f t="shared" si="249"/>
        <v>0.97149295610966513</v>
      </c>
      <c r="P607" s="342">
        <f t="shared" si="250"/>
        <v>0.81138341189315011</v>
      </c>
      <c r="Q607" s="343">
        <f t="shared" si="251"/>
        <v>-21.616942938845149</v>
      </c>
      <c r="R607" s="344">
        <f t="shared" si="252"/>
        <v>-150.31974586199328</v>
      </c>
      <c r="S607" s="346">
        <f t="shared" si="253"/>
        <v>29.680254138006717</v>
      </c>
      <c r="U607" s="319">
        <f t="shared" si="259"/>
        <v>575440</v>
      </c>
      <c r="V607" s="319">
        <f t="shared" si="260"/>
        <v>331131193600</v>
      </c>
      <c r="X607" s="345">
        <f t="shared" si="254"/>
        <v>32.523711619537778</v>
      </c>
      <c r="Y607" s="346">
        <f t="shared" si="255"/>
        <v>-54.830654976124443</v>
      </c>
      <c r="AA607" s="345">
        <f t="shared" si="256"/>
        <v>2.6573924545338339</v>
      </c>
      <c r="AB607" s="346">
        <f t="shared" si="257"/>
        <v>-95.489090885868876</v>
      </c>
      <c r="AD607">
        <f t="shared" si="261"/>
        <v>0</v>
      </c>
      <c r="AE607">
        <f t="shared" si="264"/>
        <v>0</v>
      </c>
    </row>
    <row r="608" spans="1:31" x14ac:dyDescent="0.2">
      <c r="A608" s="347">
        <v>630960</v>
      </c>
      <c r="B608" s="364">
        <f t="shared" si="258"/>
        <v>630.96</v>
      </c>
      <c r="C608" s="337">
        <f t="shared" si="239"/>
        <v>1252.2172142809216</v>
      </c>
      <c r="D608" s="338">
        <f t="shared" si="240"/>
        <v>1.5699977432146002</v>
      </c>
      <c r="E608" s="338">
        <f t="shared" si="241"/>
        <v>1.3803210304770877</v>
      </c>
      <c r="F608" s="339">
        <f t="shared" si="242"/>
        <v>0.76053236941470237</v>
      </c>
      <c r="G608" s="338">
        <f t="shared" si="243"/>
        <v>1</v>
      </c>
      <c r="H608" s="339">
        <f t="shared" si="244"/>
        <v>0</v>
      </c>
      <c r="I608" s="337">
        <f t="shared" si="245"/>
        <v>119362.85548146845</v>
      </c>
      <c r="J608" s="340">
        <f t="shared" si="246"/>
        <v>1.5707879489792356</v>
      </c>
      <c r="K608" s="348">
        <f t="shared" si="262"/>
        <v>112.54692556750958</v>
      </c>
      <c r="L608" s="349">
        <f t="shared" si="263"/>
        <v>1.5619110271461472</v>
      </c>
      <c r="M608" s="337">
        <f t="shared" si="247"/>
        <v>1.8231273704183175</v>
      </c>
      <c r="N608" s="340">
        <f t="shared" si="248"/>
        <v>0.99021747998417431</v>
      </c>
      <c r="O608" s="341">
        <f t="shared" si="249"/>
        <v>0.97933428062698391</v>
      </c>
      <c r="P608" s="342">
        <f t="shared" si="250"/>
        <v>0.9089296643169299</v>
      </c>
      <c r="Q608" s="343">
        <f t="shared" si="251"/>
        <v>-22.668505393966782</v>
      </c>
      <c r="R608" s="344">
        <f t="shared" si="252"/>
        <v>-155.70067595750717</v>
      </c>
      <c r="S608" s="346">
        <f t="shared" si="253"/>
        <v>24.299324042492827</v>
      </c>
      <c r="U608" s="319">
        <f t="shared" si="259"/>
        <v>630960</v>
      </c>
      <c r="V608" s="319">
        <f t="shared" si="260"/>
        <v>398110521600</v>
      </c>
      <c r="X608" s="345">
        <f t="shared" si="254"/>
        <v>31.980172901443868</v>
      </c>
      <c r="Y608" s="346">
        <f t="shared" si="255"/>
        <v>-57.24389262468744</v>
      </c>
      <c r="AA608" s="345">
        <f t="shared" si="256"/>
        <v>2.1493687175061043</v>
      </c>
      <c r="AB608" s="346">
        <f t="shared" si="257"/>
        <v>-98.456783332819711</v>
      </c>
      <c r="AD608">
        <f t="shared" si="261"/>
        <v>0</v>
      </c>
      <c r="AE608">
        <f t="shared" si="264"/>
        <v>0</v>
      </c>
    </row>
    <row r="609" spans="1:31" x14ac:dyDescent="0.2">
      <c r="A609" s="347">
        <v>691830</v>
      </c>
      <c r="B609" s="364">
        <f t="shared" si="258"/>
        <v>691.83</v>
      </c>
      <c r="C609" s="337">
        <f t="shared" si="239"/>
        <v>1373.0210930718804</v>
      </c>
      <c r="D609" s="338">
        <f t="shared" si="240"/>
        <v>1.5700680058000813</v>
      </c>
      <c r="E609" s="338">
        <f t="shared" si="241"/>
        <v>1.4451232202136071</v>
      </c>
      <c r="F609" s="339">
        <f t="shared" si="242"/>
        <v>0.80656468419534355</v>
      </c>
      <c r="G609" s="338">
        <f t="shared" si="243"/>
        <v>1</v>
      </c>
      <c r="H609" s="339">
        <f t="shared" si="244"/>
        <v>0</v>
      </c>
      <c r="I609" s="337">
        <f t="shared" si="245"/>
        <v>130878.03395977049</v>
      </c>
      <c r="J609" s="340">
        <f t="shared" si="246"/>
        <v>1.5707886860933231</v>
      </c>
      <c r="K609" s="348">
        <f t="shared" si="262"/>
        <v>123.40373789982286</v>
      </c>
      <c r="L609" s="349">
        <f t="shared" si="263"/>
        <v>1.5626927558516945</v>
      </c>
      <c r="M609" s="337">
        <f t="shared" si="247"/>
        <v>1.9477635407151552</v>
      </c>
      <c r="N609" s="340">
        <f t="shared" si="248"/>
        <v>1.0316433092450341</v>
      </c>
      <c r="O609" s="341">
        <f t="shared" si="249"/>
        <v>0.99466628824234016</v>
      </c>
      <c r="P609" s="342">
        <f t="shared" si="250"/>
        <v>1.0190596414156425</v>
      </c>
      <c r="Q609" s="343">
        <f t="shared" si="251"/>
        <v>-23.779331634576998</v>
      </c>
      <c r="R609" s="344">
        <f t="shared" si="252"/>
        <v>-161.70600489890617</v>
      </c>
      <c r="S609" s="346">
        <f t="shared" si="253"/>
        <v>18.293995101093827</v>
      </c>
      <c r="U609" s="319">
        <f t="shared" si="259"/>
        <v>691830</v>
      </c>
      <c r="V609" s="319">
        <f t="shared" si="260"/>
        <v>478628748900</v>
      </c>
      <c r="X609" s="345">
        <f t="shared" si="254"/>
        <v>31.405730801147286</v>
      </c>
      <c r="Y609" s="346">
        <f t="shared" si="255"/>
        <v>-59.572670284799422</v>
      </c>
      <c r="AA609" s="345">
        <f t="shared" si="256"/>
        <v>1.61298457719248</v>
      </c>
      <c r="AB609" s="346">
        <f t="shared" si="257"/>
        <v>-102.13333461410679</v>
      </c>
      <c r="AD609">
        <f t="shared" si="261"/>
        <v>0</v>
      </c>
      <c r="AE609">
        <f t="shared" si="264"/>
        <v>0</v>
      </c>
    </row>
    <row r="610" spans="1:31" s="627" customFormat="1" x14ac:dyDescent="0.2">
      <c r="A610" s="629">
        <v>758580</v>
      </c>
      <c r="B610" s="630">
        <f t="shared" si="258"/>
        <v>758.58</v>
      </c>
      <c r="C610" s="621">
        <f t="shared" si="239"/>
        <v>1505.4945496812238</v>
      </c>
      <c r="D610" s="618">
        <f t="shared" si="240"/>
        <v>1.5701320931889058</v>
      </c>
      <c r="E610" s="618">
        <f t="shared" si="241"/>
        <v>1.5193860446309271</v>
      </c>
      <c r="F610" s="619">
        <f t="shared" si="242"/>
        <v>0.8524233694323472</v>
      </c>
      <c r="G610" s="618">
        <f t="shared" si="243"/>
        <v>1</v>
      </c>
      <c r="H610" s="619">
        <f t="shared" si="244"/>
        <v>0</v>
      </c>
      <c r="I610" s="621">
        <f t="shared" si="245"/>
        <v>143505.57073372812</v>
      </c>
      <c r="J610" s="622">
        <f t="shared" si="246"/>
        <v>1.5707893584242969</v>
      </c>
      <c r="K610" s="616">
        <f t="shared" si="262"/>
        <v>135.3093829196616</v>
      </c>
      <c r="L610" s="617">
        <f t="shared" si="263"/>
        <v>1.5634057890374882</v>
      </c>
      <c r="M610" s="621">
        <f t="shared" si="247"/>
        <v>2.087797071980253</v>
      </c>
      <c r="N610" s="622">
        <f t="shared" si="248"/>
        <v>1.0713110608900818</v>
      </c>
      <c r="O610" s="631">
        <f t="shared" si="249"/>
        <v>1.0212348008617624</v>
      </c>
      <c r="P610" s="623">
        <f t="shared" si="250"/>
        <v>1.1420527013513726</v>
      </c>
      <c r="Q610" s="624">
        <f t="shared" si="251"/>
        <v>-24.976159288779005</v>
      </c>
      <c r="R610" s="625">
        <f t="shared" si="252"/>
        <v>-168.36113045059102</v>
      </c>
      <c r="S610" s="626">
        <f t="shared" si="253"/>
        <v>11.63886954940898</v>
      </c>
      <c r="U610" s="627">
        <f t="shared" si="259"/>
        <v>758580</v>
      </c>
      <c r="V610" s="627">
        <f t="shared" si="260"/>
        <v>575443616400</v>
      </c>
      <c r="X610" s="628">
        <f t="shared" si="254"/>
        <v>30.80264178098723</v>
      </c>
      <c r="Y610" s="626">
        <f t="shared" si="255"/>
        <v>-61.804649768912689</v>
      </c>
      <c r="AA610" s="628">
        <f t="shared" si="256"/>
        <v>1.0192459431505281</v>
      </c>
      <c r="AB610" s="626">
        <f t="shared" si="257"/>
        <v>-106.55648068167832</v>
      </c>
      <c r="AD610" s="2">
        <f t="shared" si="261"/>
        <v>0</v>
      </c>
      <c r="AE610" s="2">
        <f t="shared" si="264"/>
        <v>0</v>
      </c>
    </row>
    <row r="611" spans="1:31" x14ac:dyDescent="0.2">
      <c r="A611" s="347">
        <v>831760</v>
      </c>
      <c r="B611" s="364">
        <f t="shared" si="258"/>
        <v>831.76</v>
      </c>
      <c r="C611" s="337">
        <f t="shared" si="239"/>
        <v>1650.7291256987876</v>
      </c>
      <c r="D611" s="338">
        <f t="shared" si="240"/>
        <v>1.5701905338482549</v>
      </c>
      <c r="E611" s="338">
        <f t="shared" si="241"/>
        <v>1.6041133093663802</v>
      </c>
      <c r="F611" s="339">
        <f t="shared" si="242"/>
        <v>0.89771613478121604</v>
      </c>
      <c r="G611" s="338">
        <f t="shared" si="243"/>
        <v>1</v>
      </c>
      <c r="H611" s="339">
        <f t="shared" si="244"/>
        <v>0</v>
      </c>
      <c r="I611" s="337">
        <f t="shared" si="245"/>
        <v>157349.5129228271</v>
      </c>
      <c r="J611" s="340">
        <f t="shared" si="246"/>
        <v>1.570789971516247</v>
      </c>
      <c r="K611" s="348">
        <f t="shared" si="262"/>
        <v>148.36195957358009</v>
      </c>
      <c r="L611" s="349">
        <f t="shared" si="263"/>
        <v>1.5640560035010593</v>
      </c>
      <c r="M611" s="337">
        <f t="shared" si="247"/>
        <v>2.2445978486299647</v>
      </c>
      <c r="N611" s="340">
        <f t="shared" si="248"/>
        <v>1.1090479061550456</v>
      </c>
      <c r="O611" s="341">
        <f t="shared" si="249"/>
        <v>1.0640095494800963</v>
      </c>
      <c r="P611" s="342">
        <f t="shared" si="250"/>
        <v>1.2769499762737653</v>
      </c>
      <c r="Q611" s="343">
        <f t="shared" si="251"/>
        <v>-26.290197102002232</v>
      </c>
      <c r="R611" s="344">
        <f t="shared" si="252"/>
        <v>-175.62338163478537</v>
      </c>
      <c r="S611" s="346">
        <f t="shared" si="253"/>
        <v>4.3766183652146253</v>
      </c>
      <c r="U611" s="319">
        <f t="shared" si="259"/>
        <v>831760</v>
      </c>
      <c r="V611" s="319">
        <f t="shared" si="260"/>
        <v>691824697600</v>
      </c>
      <c r="X611" s="345">
        <f t="shared" si="254"/>
        <v>30.173596713994101</v>
      </c>
      <c r="Y611" s="346">
        <f t="shared" si="255"/>
        <v>-63.92959232020165</v>
      </c>
      <c r="AA611" s="345">
        <f t="shared" si="256"/>
        <v>0.33425319692042965</v>
      </c>
      <c r="AB611" s="346">
        <f t="shared" si="257"/>
        <v>-111.69378931458371</v>
      </c>
      <c r="AD611">
        <f t="shared" si="261"/>
        <v>0</v>
      </c>
      <c r="AE611">
        <f t="shared" si="264"/>
        <v>0</v>
      </c>
    </row>
    <row r="612" spans="1:31" x14ac:dyDescent="0.2">
      <c r="A612" s="347">
        <v>912010</v>
      </c>
      <c r="B612" s="364">
        <f t="shared" si="258"/>
        <v>912.01</v>
      </c>
      <c r="C612" s="337">
        <f t="shared" si="239"/>
        <v>1809.9949786627642</v>
      </c>
      <c r="D612" s="338">
        <f t="shared" si="240"/>
        <v>1.5702438390462219</v>
      </c>
      <c r="E612" s="338">
        <f t="shared" si="241"/>
        <v>1.7004091985344201</v>
      </c>
      <c r="F612" s="339">
        <f t="shared" si="242"/>
        <v>0.94209643516296993</v>
      </c>
      <c r="G612" s="338">
        <f t="shared" si="243"/>
        <v>1</v>
      </c>
      <c r="H612" s="339">
        <f t="shared" si="244"/>
        <v>0</v>
      </c>
      <c r="I612" s="337">
        <f t="shared" si="245"/>
        <v>172530.93353883328</v>
      </c>
      <c r="J612" s="340">
        <f t="shared" si="246"/>
        <v>1.5707905307328254</v>
      </c>
      <c r="K612" s="348">
        <f t="shared" si="262"/>
        <v>162.67561993931565</v>
      </c>
      <c r="L612" s="349">
        <f t="shared" si="263"/>
        <v>1.5646490854412332</v>
      </c>
      <c r="M612" s="337">
        <f t="shared" si="247"/>
        <v>2.4197195651870786</v>
      </c>
      <c r="N612" s="340">
        <f t="shared" si="248"/>
        <v>1.1447530406839708</v>
      </c>
      <c r="O612" s="341">
        <f t="shared" si="249"/>
        <v>1.1292628862231107</v>
      </c>
      <c r="P612" s="342">
        <f t="shared" si="250"/>
        <v>1.4212594890023444</v>
      </c>
      <c r="Q612" s="343">
        <f t="shared" si="251"/>
        <v>-27.753413807686726</v>
      </c>
      <c r="R612" s="344">
        <f t="shared" si="252"/>
        <v>-183.36376238816592</v>
      </c>
      <c r="S612" s="346">
        <f t="shared" si="253"/>
        <v>-3.3637623881659238</v>
      </c>
      <c r="U612" s="319">
        <f t="shared" si="259"/>
        <v>912010</v>
      </c>
      <c r="V612" s="319">
        <f t="shared" si="260"/>
        <v>831762240100</v>
      </c>
      <c r="X612" s="345">
        <f t="shared" si="254"/>
        <v>29.521033643608728</v>
      </c>
      <c r="Y612" s="346">
        <f t="shared" si="255"/>
        <v>-65.941396786627081</v>
      </c>
      <c r="AA612" s="345">
        <f t="shared" si="256"/>
        <v>-0.47640043837869384</v>
      </c>
      <c r="AB612" s="346">
        <f t="shared" si="257"/>
        <v>-117.42236560153886</v>
      </c>
      <c r="AD612">
        <f t="shared" si="261"/>
        <v>0</v>
      </c>
      <c r="AE612">
        <f t="shared" si="264"/>
        <v>0</v>
      </c>
    </row>
    <row r="613" spans="1:31" x14ac:dyDescent="0.2">
      <c r="A613" s="347">
        <v>1000000</v>
      </c>
      <c r="B613" s="364">
        <f t="shared" si="258"/>
        <v>1000</v>
      </c>
      <c r="C613" s="337">
        <f t="shared" si="239"/>
        <v>1984.6218047917407</v>
      </c>
      <c r="D613" s="338">
        <f t="shared" si="240"/>
        <v>1.5702924524346027</v>
      </c>
      <c r="E613" s="338">
        <f t="shared" si="241"/>
        <v>1.809407872430713</v>
      </c>
      <c r="F613" s="339">
        <f t="shared" si="242"/>
        <v>0.98523534994638551</v>
      </c>
      <c r="G613" s="338">
        <f t="shared" si="243"/>
        <v>1</v>
      </c>
      <c r="H613" s="339">
        <f t="shared" si="244"/>
        <v>0</v>
      </c>
      <c r="I613" s="337">
        <f t="shared" si="245"/>
        <v>189176.58089093948</v>
      </c>
      <c r="J613" s="340">
        <f t="shared" si="246"/>
        <v>1.570791040728327</v>
      </c>
      <c r="K613" s="348">
        <f t="shared" si="262"/>
        <v>178.36986748247614</v>
      </c>
      <c r="L613" s="349">
        <f t="shared" si="263"/>
        <v>1.5651899693272704</v>
      </c>
      <c r="M613" s="337">
        <f t="shared" si="247"/>
        <v>2.6147764722820952</v>
      </c>
      <c r="N613" s="340">
        <f t="shared" si="248"/>
        <v>1.1783586976898475</v>
      </c>
      <c r="O613" s="341">
        <f t="shared" si="249"/>
        <v>1.2243950421881697</v>
      </c>
      <c r="P613" s="342" t="e">
        <f t="shared" si="250"/>
        <v>#DIV/0!</v>
      </c>
      <c r="Q613" s="343">
        <f t="shared" si="251"/>
        <v>-29.38970938639747</v>
      </c>
      <c r="R613" s="344" t="e">
        <f t="shared" si="252"/>
        <v>#DIV/0!</v>
      </c>
      <c r="S613" s="346" t="e">
        <f t="shared" si="253"/>
        <v>#DIV/0!</v>
      </c>
      <c r="U613" s="319">
        <f t="shared" si="259"/>
        <v>1000000</v>
      </c>
      <c r="V613" s="319">
        <f t="shared" si="260"/>
        <v>1000000000000</v>
      </c>
      <c r="X613" s="345">
        <f t="shared" si="254"/>
        <v>28.847615384724609</v>
      </c>
      <c r="Y613" s="346">
        <f t="shared" si="255"/>
        <v>-67.835897959706116</v>
      </c>
      <c r="AA613" s="345">
        <f t="shared" si="256"/>
        <v>-1.4392777582053178</v>
      </c>
      <c r="AB613" s="346" t="e">
        <f t="shared" si="257"/>
        <v>#DIV/0!</v>
      </c>
      <c r="AD613">
        <f t="shared" si="261"/>
        <v>0</v>
      </c>
      <c r="AE613">
        <f t="shared" si="264"/>
        <v>0</v>
      </c>
    </row>
    <row r="614" spans="1:31" x14ac:dyDescent="0.2">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
      <c r="A616" s="319" t="s">
        <v>362</v>
      </c>
      <c r="G616" s="338"/>
      <c r="H616" s="339"/>
      <c r="Q616" s="343"/>
      <c r="R616" s="344"/>
      <c r="S616" s="353"/>
      <c r="AA616" s="345"/>
      <c r="AB616" s="346"/>
    </row>
    <row r="617" spans="1:31" x14ac:dyDescent="0.2">
      <c r="A617" s="354">
        <f>Q4*1000</f>
        <v>59913</v>
      </c>
      <c r="B617" s="354"/>
      <c r="C617" s="355">
        <f t="shared" ref="C617:C626" si="265">SQRT(1+(A617/pole1)^2)</f>
        <v>118.90883607250329</v>
      </c>
      <c r="D617" s="348">
        <f t="shared" ref="D617:D626" si="266">ATAN(A617/pole1)</f>
        <v>1.5623864237055036</v>
      </c>
      <c r="E617" s="348">
        <f t="shared" ref="E617:E626" si="267">SQRT(1+(A617/Zero1)^2)</f>
        <v>1.0040729663514545</v>
      </c>
      <c r="F617" s="349">
        <f t="shared" ref="F617:F626" si="268">ATAN(A617/Zero1)</f>
        <v>9.0102053436025092E-2</v>
      </c>
      <c r="G617" s="338">
        <f>IF(VIN_nom&gt;Vout, 1, SQRT(1+(A617/z_RHP)^2))</f>
        <v>1</v>
      </c>
      <c r="H617" s="339">
        <f>IF(VIN_nom&gt;Vout, 0, -ATAN(A617/z_RHP))</f>
        <v>0</v>
      </c>
      <c r="I617" s="355">
        <f t="shared" ref="I617:I626" si="269">SQRT(1+(A617/Pole2)^2)</f>
        <v>11334.136534875026</v>
      </c>
      <c r="J617" s="356">
        <f t="shared" ref="J617:J626" si="270">ATAN(A617/Pole2)</f>
        <v>1.5707080977535206</v>
      </c>
      <c r="K617" s="348">
        <f t="shared" ref="K617:K626" si="271">SQRT(1+(A617/Zero2)^2)</f>
        <v>10.733191922554054</v>
      </c>
      <c r="L617" s="349">
        <f t="shared" ref="L617:L626" si="272">ATAN(A617/Zero2)</f>
        <v>1.4774920768168172</v>
      </c>
      <c r="M617" s="355">
        <f t="shared" ref="M617:M626" si="273">SQRT(1+(A617/pole4)^2)</f>
        <v>1.0104219449893379</v>
      </c>
      <c r="N617" s="356">
        <f t="shared" ref="N617:N626" si="274">ATAN(A617/pole4)</f>
        <v>0.14375137297371815</v>
      </c>
      <c r="O617" s="355">
        <f>SQRT((1-(A617^2/(pole3^2)))^2+(A617/(Q_Ch2*pole3))^2)</f>
        <v>0.9991071142468877</v>
      </c>
      <c r="P617" s="420">
        <f>ATAN((A617/(Q_Ch2*pole3))/(1-A617^2/pole3^2))</f>
        <v>7.3488867917935352E-2</v>
      </c>
      <c r="Q617" s="343">
        <f>20*LOG10(((E617*K617*G617)/(C617*I617*O617*M617))*Adc)</f>
        <v>6.6921384652187405E-3</v>
      </c>
      <c r="R617" s="344">
        <f>((F617+L617+H617)-(D617+J617+P617+N617))*radconv</f>
        <v>-102.14351430240657</v>
      </c>
      <c r="S617" s="346">
        <f t="shared" ref="S617:S626" si="275">IF(R617&gt;0,R617,R617+180)</f>
        <v>77.856485697593428</v>
      </c>
      <c r="T617" s="319" t="s">
        <v>363</v>
      </c>
      <c r="X617" s="345">
        <f t="shared" ref="X617:X626" si="276">20*LOG10((K617/(I617*M617))*AEA)</f>
        <v>37.143978104898125</v>
      </c>
      <c r="Y617" s="346">
        <f t="shared" ref="Y617:Y626" si="277">(L617-(J617+N617))*radconv</f>
        <v>-13.577231568795487</v>
      </c>
      <c r="AA617" s="345">
        <f>20*LOG10((E617*G617/(C617*O617))*Acs*Am)</f>
        <v>19.660761046483856</v>
      </c>
      <c r="AB617" s="346">
        <f>(F617+H617-(D617+P617))*radconv</f>
        <v>-88.566282733611075</v>
      </c>
    </row>
    <row r="618" spans="1:31" x14ac:dyDescent="0.2">
      <c r="A618" s="354">
        <f>A617</f>
        <v>59913</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
      <c r="A619" s="319">
        <f>A618</f>
        <v>59913</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
      <c r="A620" s="354">
        <v>1000000</v>
      </c>
      <c r="B620" s="354"/>
      <c r="C620" s="355"/>
      <c r="D620" s="348"/>
      <c r="E620" s="348"/>
      <c r="F620" s="349"/>
      <c r="G620" s="338"/>
      <c r="H620" s="339"/>
      <c r="I620" s="355"/>
      <c r="J620" s="356"/>
      <c r="K620" s="348"/>
      <c r="L620" s="349"/>
      <c r="M620" s="337"/>
      <c r="N620" s="340"/>
      <c r="O620" s="355"/>
      <c r="P620" s="342"/>
      <c r="Q620" s="343"/>
      <c r="R620" s="344">
        <f>R617</f>
        <v>-102.14351430240657</v>
      </c>
      <c r="S620" s="346"/>
      <c r="X620" s="345"/>
      <c r="Y620" s="346"/>
      <c r="AA620" s="345"/>
      <c r="AB620" s="346"/>
    </row>
    <row r="621" spans="1:31" x14ac:dyDescent="0.2">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
      <c r="A622" s="429">
        <f>pole1</f>
        <v>503.87440293675269</v>
      </c>
      <c r="B622" s="354"/>
      <c r="C622" s="355">
        <f t="shared" si="265"/>
        <v>1.4142135623730951</v>
      </c>
      <c r="D622" s="348">
        <f t="shared" si="266"/>
        <v>0.78539816339744828</v>
      </c>
      <c r="E622" s="348">
        <f t="shared" si="267"/>
        <v>1.0000002886667441</v>
      </c>
      <c r="F622" s="349">
        <f t="shared" si="268"/>
        <v>7.5982455175478399E-4</v>
      </c>
      <c r="G622" s="338">
        <f t="shared" ref="G622:G628" si="278">IF(VIN_nom&gt;Vout, 1, SQRT(1+(A622/z_RHP)^2))</f>
        <v>1</v>
      </c>
      <c r="H622" s="339">
        <f t="shared" ref="H622:H628" si="279">IF(VIN_nom&gt;Vout, 0, -ATAN(A622/z_RHP))</f>
        <v>0</v>
      </c>
      <c r="I622" s="355">
        <f t="shared" si="269"/>
        <v>95.326482021211802</v>
      </c>
      <c r="J622" s="356">
        <f t="shared" si="270"/>
        <v>1.5603058699916448</v>
      </c>
      <c r="K622" s="348">
        <f t="shared" si="271"/>
        <v>1.0040305988217304</v>
      </c>
      <c r="L622" s="349">
        <f t="shared" si="272"/>
        <v>8.9633778418324705E-2</v>
      </c>
      <c r="M622" s="337">
        <f t="shared" si="273"/>
        <v>1.0000007409830889</v>
      </c>
      <c r="N622" s="340">
        <f t="shared" si="274"/>
        <v>1.2173599561331155E-3</v>
      </c>
      <c r="O622" s="355">
        <f t="shared" ref="O622:O628" si="280">SQRT((1-(A622^2/(pole3^2)))^2+(A622/(Q_Ch2*pole3))^2)</f>
        <v>0.99999993641891294</v>
      </c>
      <c r="P622" s="342">
        <f t="shared" ref="P622:P628" si="281">ATAN((A622/(Q_Ch2*pole3))/(1-A622^2/pole3^2))</f>
        <v>6.1694139920345119E-4</v>
      </c>
      <c r="Q622" s="343">
        <f t="shared" ref="Q622:Q628" si="282">20*LOG10(((E622*K622*G622)/(C622*I622*O622*M622))*Adc)</f>
        <v>59.471520858796922</v>
      </c>
      <c r="R622" s="344">
        <f t="shared" ref="R622:R628" si="283">((F622+L622+H622)-(D622+J622+P622+N622))*radconv</f>
        <v>-129.32486702863369</v>
      </c>
      <c r="S622" s="346">
        <f t="shared" si="275"/>
        <v>50.67513297136631</v>
      </c>
      <c r="T622" s="319" t="s">
        <v>337</v>
      </c>
      <c r="X622" s="345">
        <f t="shared" si="276"/>
        <v>58.157885618089828</v>
      </c>
      <c r="Y622" s="346">
        <f t="shared" si="277"/>
        <v>-84.333053578827773</v>
      </c>
      <c r="AA622" s="345">
        <f t="shared" ref="AA622:AA628" si="284">20*LOG10((E622*G622/(C622*O622))*Acs*Am)</f>
        <v>58.111682253623854</v>
      </c>
      <c r="AB622" s="346">
        <f t="shared" ref="AB622:AB628" si="285">(F622+H622-(D622+P622))*radconv</f>
        <v>-44.991813449805917</v>
      </c>
    </row>
    <row r="623" spans="1:31" s="627" customFormat="1" x14ac:dyDescent="0.2">
      <c r="A623" s="613">
        <f>Zero1</f>
        <v>663145.59697398485</v>
      </c>
      <c r="B623" s="614"/>
      <c r="C623" s="615">
        <f t="shared" si="265"/>
        <v>1316.0934243474651</v>
      </c>
      <c r="D623" s="616">
        <f t="shared" si="266"/>
        <v>1.5700365022431417</v>
      </c>
      <c r="E623" s="616">
        <f t="shared" si="267"/>
        <v>1.4142135623730951</v>
      </c>
      <c r="F623" s="617">
        <f t="shared" si="268"/>
        <v>0.78539816339744828</v>
      </c>
      <c r="G623" s="618">
        <f t="shared" si="278"/>
        <v>1</v>
      </c>
      <c r="H623" s="619">
        <f t="shared" si="279"/>
        <v>0</v>
      </c>
      <c r="I623" s="615">
        <f t="shared" si="269"/>
        <v>125451.61667065228</v>
      </c>
      <c r="J623" s="620">
        <f t="shared" si="270"/>
        <v>1.5707883555943132</v>
      </c>
      <c r="K623" s="616">
        <f t="shared" si="271"/>
        <v>118.28756039603002</v>
      </c>
      <c r="L623" s="617">
        <f t="shared" si="272"/>
        <v>1.5623422517539649</v>
      </c>
      <c r="M623" s="621">
        <f t="shared" si="273"/>
        <v>1.8886280480545705</v>
      </c>
      <c r="N623" s="622">
        <f t="shared" si="274"/>
        <v>1.0128030978616078</v>
      </c>
      <c r="O623" s="615">
        <f t="shared" si="280"/>
        <v>0.98647497100206749</v>
      </c>
      <c r="P623" s="623">
        <f t="shared" si="281"/>
        <v>0.96682093108584299</v>
      </c>
      <c r="Q623" s="624">
        <f>20*LOG10(((E623*K623*G623)/(C623*I623*O623*M623))*Adc)</f>
        <v>-23.259671757214782</v>
      </c>
      <c r="R623" s="625">
        <f t="shared" si="283"/>
        <v>-158.8644934262972</v>
      </c>
      <c r="S623" s="626">
        <f t="shared" si="275"/>
        <v>21.135506573702799</v>
      </c>
      <c r="T623" s="627" t="s">
        <v>332</v>
      </c>
      <c r="X623" s="628">
        <f t="shared" si="276"/>
        <v>31.673551948114916</v>
      </c>
      <c r="Y623" s="626">
        <f t="shared" si="277"/>
        <v>-58.51326915548777</v>
      </c>
      <c r="AA623" s="628">
        <f t="shared" si="284"/>
        <v>1.8648233075870604</v>
      </c>
      <c r="AB623" s="626">
        <f t="shared" si="285"/>
        <v>-100.35122427080942</v>
      </c>
      <c r="AD623" s="2"/>
      <c r="AE623" s="2"/>
    </row>
    <row r="624" spans="1:31" x14ac:dyDescent="0.2">
      <c r="A624" s="429">
        <f>Pole2</f>
        <v>5.2860665696800622</v>
      </c>
      <c r="B624" s="354"/>
      <c r="C624" s="355">
        <f t="shared" si="265"/>
        <v>1.0000550273651945</v>
      </c>
      <c r="D624" s="348">
        <f t="shared" si="266"/>
        <v>1.0490456803251814E-2</v>
      </c>
      <c r="E624" s="348">
        <f t="shared" si="267"/>
        <v>1.0000000000317701</v>
      </c>
      <c r="F624" s="349">
        <f t="shared" si="268"/>
        <v>7.9712005835356163E-6</v>
      </c>
      <c r="G624" s="338">
        <f t="shared" si="278"/>
        <v>1</v>
      </c>
      <c r="H624" s="339">
        <f t="shared" si="279"/>
        <v>0</v>
      </c>
      <c r="I624" s="355">
        <f t="shared" si="269"/>
        <v>1.4142135623730951</v>
      </c>
      <c r="J624" s="356">
        <f t="shared" si="270"/>
        <v>0.78539816339744828</v>
      </c>
      <c r="K624" s="348">
        <f t="shared" si="271"/>
        <v>1.0000004444925568</v>
      </c>
      <c r="L624" s="349">
        <f t="shared" si="272"/>
        <v>9.4285989631304125E-4</v>
      </c>
      <c r="M624" s="337">
        <f t="shared" si="273"/>
        <v>1.000000000081551</v>
      </c>
      <c r="N624" s="340">
        <f t="shared" si="274"/>
        <v>1.2771136831652698E-5</v>
      </c>
      <c r="O624" s="355">
        <f t="shared" si="280"/>
        <v>0.99999999999300238</v>
      </c>
      <c r="P624" s="342">
        <f t="shared" si="281"/>
        <v>6.4722337006833704E-6</v>
      </c>
      <c r="Q624" s="343">
        <f t="shared" si="282"/>
        <v>99.020382493721556</v>
      </c>
      <c r="R624" s="344">
        <f t="shared" si="283"/>
        <v>-45.547682907069579</v>
      </c>
      <c r="S624" s="346">
        <f t="shared" si="275"/>
        <v>134.45231709293043</v>
      </c>
      <c r="T624" s="319" t="s">
        <v>340</v>
      </c>
      <c r="W624" s="319">
        <f>Pole2</f>
        <v>5.2860665696800622</v>
      </c>
      <c r="X624" s="345">
        <f t="shared" si="276"/>
        <v>94.696928304094513</v>
      </c>
      <c r="Y624" s="346">
        <f t="shared" si="277"/>
        <v>-44.946709890868256</v>
      </c>
      <c r="AA624" s="345">
        <f t="shared" si="284"/>
        <v>61.121501202543804</v>
      </c>
      <c r="AB624" s="346">
        <f t="shared" si="285"/>
        <v>-0.60097301620132493</v>
      </c>
    </row>
    <row r="625" spans="1:28" x14ac:dyDescent="0.2">
      <c r="A625" s="429">
        <f>Zero2</f>
        <v>5606.4162066280242</v>
      </c>
      <c r="B625" s="354"/>
      <c r="C625" s="355">
        <f t="shared" si="265"/>
        <v>11.171461356990491</v>
      </c>
      <c r="D625" s="348">
        <f t="shared" si="266"/>
        <v>1.481162548376572</v>
      </c>
      <c r="E625" s="348">
        <f t="shared" si="267"/>
        <v>1.0000357367566295</v>
      </c>
      <c r="F625" s="349">
        <f t="shared" si="268"/>
        <v>8.4540750409318188E-3</v>
      </c>
      <c r="G625" s="338">
        <f t="shared" si="278"/>
        <v>1</v>
      </c>
      <c r="H625" s="339">
        <f t="shared" si="279"/>
        <v>0</v>
      </c>
      <c r="I625" s="355">
        <f t="shared" si="269"/>
        <v>1060.6031204366056</v>
      </c>
      <c r="J625" s="356">
        <f t="shared" si="270"/>
        <v>1.5698534668985835</v>
      </c>
      <c r="K625" s="348">
        <f t="shared" si="271"/>
        <v>1.4142135623730951</v>
      </c>
      <c r="L625" s="349">
        <f t="shared" si="272"/>
        <v>0.78539816339744828</v>
      </c>
      <c r="M625" s="337">
        <f t="shared" si="273"/>
        <v>1.0000917306808117</v>
      </c>
      <c r="N625" s="340">
        <f t="shared" si="274"/>
        <v>1.3544273274140073E-2</v>
      </c>
      <c r="O625" s="355">
        <f t="shared" si="280"/>
        <v>0.99999212902221235</v>
      </c>
      <c r="P625" s="342">
        <f t="shared" si="281"/>
        <v>6.8645761507708843E-3</v>
      </c>
      <c r="Q625" s="343">
        <f t="shared" si="282"/>
        <v>23.567780773000013</v>
      </c>
      <c r="R625" s="344">
        <f t="shared" si="283"/>
        <v>-130.49529916843403</v>
      </c>
      <c r="S625" s="346">
        <f t="shared" si="275"/>
        <v>49.50470083156597</v>
      </c>
      <c r="T625" s="319" t="s">
        <v>335</v>
      </c>
      <c r="W625" s="319">
        <f>Zero2</f>
        <v>5606.4162066280242</v>
      </c>
      <c r="X625" s="345">
        <f t="shared" si="276"/>
        <v>40.205669620501098</v>
      </c>
      <c r="Y625" s="346">
        <f t="shared" si="277"/>
        <v>-45.722007854694183</v>
      </c>
      <c r="AA625" s="345">
        <f t="shared" si="284"/>
        <v>40.16015816541568</v>
      </c>
      <c r="AB625" s="346">
        <f t="shared" si="285"/>
        <v>-84.773291313739847</v>
      </c>
    </row>
    <row r="626" spans="1:28" x14ac:dyDescent="0.2">
      <c r="A626" s="429">
        <f>pole3</f>
        <v>1000000</v>
      </c>
      <c r="B626" s="354"/>
      <c r="C626" s="355">
        <f t="shared" si="265"/>
        <v>1984.6218047917407</v>
      </c>
      <c r="D626" s="348">
        <f t="shared" si="266"/>
        <v>1.5702924524346027</v>
      </c>
      <c r="E626" s="348">
        <f t="shared" si="267"/>
        <v>1.809407872430713</v>
      </c>
      <c r="F626" s="349">
        <f t="shared" si="268"/>
        <v>0.98523534994638551</v>
      </c>
      <c r="G626" s="338">
        <f t="shared" si="278"/>
        <v>1</v>
      </c>
      <c r="H626" s="339">
        <f t="shared" si="279"/>
        <v>0</v>
      </c>
      <c r="I626" s="355">
        <f t="shared" si="269"/>
        <v>189176.58089093948</v>
      </c>
      <c r="J626" s="356">
        <f t="shared" si="270"/>
        <v>1.570791040728327</v>
      </c>
      <c r="K626" s="348">
        <f t="shared" si="271"/>
        <v>178.36986748247614</v>
      </c>
      <c r="L626" s="349">
        <f t="shared" si="272"/>
        <v>1.5651899693272704</v>
      </c>
      <c r="M626" s="337">
        <f t="shared" si="273"/>
        <v>2.6147764722820952</v>
      </c>
      <c r="N626" s="340">
        <f t="shared" si="274"/>
        <v>1.1783586976898475</v>
      </c>
      <c r="O626" s="355">
        <f t="shared" si="280"/>
        <v>1.2243950421881697</v>
      </c>
      <c r="P626" s="342" t="e">
        <f t="shared" si="281"/>
        <v>#DIV/0!</v>
      </c>
      <c r="Q626" s="343">
        <f t="shared" si="282"/>
        <v>-29.38970938639747</v>
      </c>
      <c r="R626" s="344" t="e">
        <f t="shared" si="283"/>
        <v>#DIV/0!</v>
      </c>
      <c r="S626" s="346" t="e">
        <f t="shared" si="275"/>
        <v>#DIV/0!</v>
      </c>
      <c r="T626" s="319" t="s">
        <v>333</v>
      </c>
      <c r="X626" s="345">
        <f t="shared" si="276"/>
        <v>28.847615384724609</v>
      </c>
      <c r="Y626" s="346">
        <f t="shared" si="277"/>
        <v>-67.835897959706116</v>
      </c>
      <c r="AA626" s="345">
        <f t="shared" si="284"/>
        <v>-1.4392777582053178</v>
      </c>
      <c r="AB626" s="346" t="e">
        <f t="shared" si="285"/>
        <v>#DIV/0!</v>
      </c>
    </row>
    <row r="627" spans="1:28" ht="13.5" thickBot="1" x14ac:dyDescent="0.25">
      <c r="A627" s="406">
        <f>Fp2_u</f>
        <v>333333.33333333337</v>
      </c>
      <c r="C627" s="355">
        <f>SQRT(1+(A627/pole1)^2)</f>
        <v>661.54127342935783</v>
      </c>
      <c r="D627" s="348">
        <f>ATAN(A627/pole1)</f>
        <v>1.5692847047374401</v>
      </c>
      <c r="E627" s="348">
        <f>SQRT(1+(A627/Zero1)^2)</f>
        <v>1.119223781060102</v>
      </c>
      <c r="F627" s="349">
        <f>ATAN(A627/Zero1)</f>
        <v>0.46576921202112065</v>
      </c>
      <c r="G627" s="338">
        <f t="shared" si="278"/>
        <v>1</v>
      </c>
      <c r="H627" s="339">
        <f t="shared" si="279"/>
        <v>0</v>
      </c>
      <c r="I627" s="355">
        <f>SQRT(1+(A627/Pole2)^2)</f>
        <v>63058.860304027919</v>
      </c>
      <c r="J627" s="356">
        <f>ATAN(A627/Pole2)</f>
        <v>1.5707804685951889</v>
      </c>
      <c r="K627" s="348">
        <f>SQRT(1+(A627/Zero2)^2)</f>
        <v>59.464097128450462</v>
      </c>
      <c r="L627" s="349">
        <f>ATAN(A627/Zero2)</f>
        <v>1.5539786638888318</v>
      </c>
      <c r="M627" s="337">
        <f>SQRT(1+(A627/pole4)^2)</f>
        <v>1.2839633085792512</v>
      </c>
      <c r="N627" s="340">
        <f>ATAN(A627/pole4)</f>
        <v>0.67798452475049076</v>
      </c>
      <c r="O627" s="355">
        <f t="shared" si="280"/>
        <v>0.97810782923209449</v>
      </c>
      <c r="P627" s="342">
        <f t="shared" si="281"/>
        <v>0.43043542721923878</v>
      </c>
      <c r="Q627" s="343">
        <f t="shared" si="282"/>
        <v>-15.890256502252715</v>
      </c>
      <c r="R627" s="344">
        <f t="shared" si="283"/>
        <v>-127.69723817969623</v>
      </c>
      <c r="S627" s="346">
        <f>IF(R627&gt;0,R627,R627+180)</f>
        <v>52.302761820303772</v>
      </c>
      <c r="T627" s="319" t="s">
        <v>345</v>
      </c>
      <c r="X627" s="357"/>
      <c r="Y627" s="358"/>
      <c r="AA627" s="345">
        <f t="shared" si="284"/>
        <v>5.8814441358558467</v>
      </c>
      <c r="AB627" s="346">
        <f t="shared" si="285"/>
        <v>-87.88891379294526</v>
      </c>
    </row>
    <row r="628" spans="1:28" x14ac:dyDescent="0.2">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102.0311565383917</v>
      </c>
      <c r="R628" s="344">
        <f t="shared" si="283"/>
        <v>0</v>
      </c>
      <c r="S628" s="346">
        <f>IF(R628&gt;0,R628,R628+180)</f>
        <v>180</v>
      </c>
      <c r="T628" s="319" t="s">
        <v>439</v>
      </c>
      <c r="X628" s="353"/>
      <c r="Y628" s="353"/>
      <c r="AA628" s="345">
        <f t="shared" si="284"/>
        <v>61.121979150678214</v>
      </c>
      <c r="AB628" s="346">
        <f t="shared" si="285"/>
        <v>0</v>
      </c>
    </row>
    <row r="629" spans="1:28" x14ac:dyDescent="0.2">
      <c r="A629" s="406">
        <f>Fp2_u</f>
        <v>333333.33333333337</v>
      </c>
      <c r="Q629" s="343">
        <v>-25</v>
      </c>
    </row>
    <row r="631" spans="1:28" x14ac:dyDescent="0.2">
      <c r="D631" s="319" t="s">
        <v>364</v>
      </c>
      <c r="E631" s="319" t="s">
        <v>365</v>
      </c>
    </row>
    <row r="632" spans="1:28" x14ac:dyDescent="0.2">
      <c r="A632" s="319" t="s">
        <v>337</v>
      </c>
      <c r="B632" s="319" t="s">
        <v>436</v>
      </c>
      <c r="C632" s="359">
        <f>pole1</f>
        <v>503.87440293675269</v>
      </c>
      <c r="D632" s="359">
        <f>Q622</f>
        <v>59.471520858796922</v>
      </c>
      <c r="E632" s="359">
        <f>AA622</f>
        <v>58.111682253623854</v>
      </c>
    </row>
    <row r="633" spans="1:28" x14ac:dyDescent="0.2">
      <c r="A633" s="319" t="s">
        <v>332</v>
      </c>
      <c r="B633" s="319" t="s">
        <v>446</v>
      </c>
      <c r="C633" s="359">
        <f>Zero1</f>
        <v>663145.59697398485</v>
      </c>
      <c r="D633" s="359">
        <f>Q623</f>
        <v>-23.259671757214782</v>
      </c>
      <c r="E633" s="359">
        <f>AA623</f>
        <v>1.8648233075870604</v>
      </c>
    </row>
    <row r="634" spans="1:28" x14ac:dyDescent="0.2">
      <c r="A634" s="319" t="s">
        <v>340</v>
      </c>
      <c r="B634" s="319" t="s">
        <v>447</v>
      </c>
      <c r="C634" s="359">
        <f>Pole2</f>
        <v>5.2860665696800622</v>
      </c>
      <c r="D634" s="359">
        <f>Q624</f>
        <v>99.020382493721556</v>
      </c>
      <c r="E634" s="359">
        <f>AA624</f>
        <v>61.121501202543804</v>
      </c>
    </row>
    <row r="635" spans="1:28" x14ac:dyDescent="0.2">
      <c r="A635" s="319" t="s">
        <v>335</v>
      </c>
      <c r="B635" s="319" t="s">
        <v>448</v>
      </c>
      <c r="C635" s="359">
        <f>Zero2</f>
        <v>5606.4162066280242</v>
      </c>
      <c r="D635" s="359">
        <f>Q625</f>
        <v>23.567780773000013</v>
      </c>
      <c r="E635" s="359">
        <f>AA625</f>
        <v>40.16015816541568</v>
      </c>
    </row>
    <row r="636" spans="1:28" x14ac:dyDescent="0.2">
      <c r="A636" s="319" t="s">
        <v>333</v>
      </c>
      <c r="B636" s="319" t="s">
        <v>445</v>
      </c>
      <c r="C636" s="319">
        <f>pole3</f>
        <v>1000000</v>
      </c>
      <c r="D636" s="359">
        <f>Q626</f>
        <v>-29.38970938639747</v>
      </c>
      <c r="E636" s="359">
        <f>AA626</f>
        <v>-1.4392777582053178</v>
      </c>
    </row>
    <row r="637" spans="1:28" x14ac:dyDescent="0.2">
      <c r="C637" s="406"/>
      <c r="D637" s="359"/>
      <c r="E637" s="359"/>
    </row>
    <row r="639" spans="1:28" x14ac:dyDescent="0.2">
      <c r="A639" s="359">
        <f>Q4*1000</f>
        <v>59913</v>
      </c>
    </row>
    <row r="640" spans="1:28" x14ac:dyDescent="0.2">
      <c r="A640" s="359">
        <f>Q4*1000</f>
        <v>59913</v>
      </c>
    </row>
    <row r="687" spans="30:31" x14ac:dyDescent="0.2">
      <c r="AD687" t="s">
        <v>44</v>
      </c>
      <c r="AE687" s="4">
        <f>SUM(AE689:AE1306)</f>
        <v>0</v>
      </c>
    </row>
  </sheetData>
  <mergeCells count="20">
    <mergeCell ref="Q10:S10"/>
    <mergeCell ref="X10:Y10"/>
    <mergeCell ref="AA10:AB10"/>
    <mergeCell ref="C11:D11"/>
    <mergeCell ref="E11:F11"/>
    <mergeCell ref="G11:H11"/>
    <mergeCell ref="I11:J11"/>
    <mergeCell ref="K11:L11"/>
    <mergeCell ref="M11:N11"/>
    <mergeCell ref="O11:P11"/>
    <mergeCell ref="A2:D2"/>
    <mergeCell ref="E2:G2"/>
    <mergeCell ref="J2:L2"/>
    <mergeCell ref="M2:O2"/>
    <mergeCell ref="P2:R2"/>
    <mergeCell ref="A10:A12"/>
    <mergeCell ref="B10:B11"/>
    <mergeCell ref="C10:H10"/>
    <mergeCell ref="I10:N10"/>
    <mergeCell ref="O10:P10"/>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CHOOSE(BODE_PLOT_TYPE, "BODE_PLOT_Ch1", "BODE_PLOT_Ch2")</f>
        <v>BODE_PLOT_Ch1</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c r="F6">
        <f ca="1">INDIRECT(A2)</f>
        <v>0</v>
      </c>
    </row>
    <row r="7" spans="1:14" ht="34.5" customHeight="1" x14ac:dyDescent="0.2"/>
    <row r="8" spans="1:14" ht="409.5" customHeight="1" x14ac:dyDescent="0.2">
      <c r="B8" s="537"/>
    </row>
    <row r="9" spans="1:14" x14ac:dyDescent="0.2">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10" width="9.85546875" customWidth="1"/>
    <col min="11" max="11" width="8.140625" customWidth="1"/>
    <col min="12" max="12" width="7.42578125" customWidth="1"/>
    <col min="13" max="13" width="10.7109375" style="360" customWidth="1"/>
    <col min="14" max="16" width="8.85546875" style="4" customWidth="1"/>
    <col min="17" max="17" width="12.140625"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1.7109375" customWidth="1"/>
    <col min="31" max="31" width="12.8554687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63" t="s">
        <v>753</v>
      </c>
      <c r="B1" s="763"/>
      <c r="C1" s="763"/>
      <c r="D1" s="763"/>
    </row>
    <row r="2" spans="1:65" ht="12.75" customHeight="1" x14ac:dyDescent="0.2">
      <c r="A2" s="763"/>
      <c r="B2" s="763"/>
      <c r="C2" s="763"/>
      <c r="D2" s="763"/>
      <c r="H2" s="552">
        <f>AV19</f>
        <v>0.86450403335017989</v>
      </c>
      <c r="I2" s="114" t="s">
        <v>602</v>
      </c>
      <c r="J2" s="114"/>
      <c r="AK2" s="114"/>
    </row>
    <row r="3" spans="1:65" ht="12.75" customHeight="1" x14ac:dyDescent="0.2">
      <c r="A3" s="763"/>
      <c r="B3" s="763"/>
      <c r="C3" s="763"/>
      <c r="D3" s="763"/>
      <c r="H3" s="552">
        <f>AV59</f>
        <v>0.94390935338146742</v>
      </c>
      <c r="I3" s="114" t="s">
        <v>604</v>
      </c>
      <c r="J3" s="114"/>
      <c r="AK3" s="114"/>
      <c r="AP3">
        <f>IF(MODE=1, (Qg_Q1+Qg_Q2)*Fsw*Vin, (Qg_Q1+Qg_Q2+Qg_Q3+Qg_Q4)*Fsw*Vin)</f>
        <v>1.3859999999999997</v>
      </c>
    </row>
    <row r="4" spans="1:65" ht="12.75" customHeight="1" x14ac:dyDescent="0.2">
      <c r="A4" s="763"/>
      <c r="B4" s="763"/>
      <c r="C4" s="763"/>
      <c r="D4" s="763"/>
      <c r="H4" s="552">
        <f>AV109</f>
        <v>0.95325251336040184</v>
      </c>
      <c r="I4" s="114" t="s">
        <v>603</v>
      </c>
      <c r="J4" s="114"/>
      <c r="AK4" s="114"/>
      <c r="AO4" s="114" t="s">
        <v>815</v>
      </c>
      <c r="AP4">
        <f>(Qg_Q1+Qg_Q2)*Fsw*1000</f>
        <v>65.999999999999986</v>
      </c>
      <c r="AQ4" s="114" t="s">
        <v>64</v>
      </c>
      <c r="AR4">
        <f>AP4*5/1000</f>
        <v>0.32999999999999996</v>
      </c>
    </row>
    <row r="5" spans="1:65" x14ac:dyDescent="0.2">
      <c r="A5" s="10"/>
      <c r="B5" s="11"/>
      <c r="C5" s="6"/>
      <c r="D5" s="6"/>
    </row>
    <row r="6" spans="1:65" ht="13.5" customHeight="1" thickBot="1" x14ac:dyDescent="0.25">
      <c r="A6" s="764" t="s">
        <v>474</v>
      </c>
      <c r="B6" s="764"/>
      <c r="C6" s="764"/>
      <c r="D6" s="764"/>
    </row>
    <row r="7" spans="1:65" ht="13.5" thickBot="1" x14ac:dyDescent="0.25">
      <c r="A7" s="764"/>
      <c r="B7" s="764"/>
      <c r="C7" s="764"/>
      <c r="D7" s="764"/>
      <c r="G7" s="756" t="s">
        <v>595</v>
      </c>
      <c r="H7" s="757"/>
      <c r="I7" s="757"/>
      <c r="J7" s="757"/>
      <c r="K7" s="757"/>
      <c r="L7" s="757"/>
      <c r="M7" s="757"/>
      <c r="N7" s="758"/>
      <c r="O7" s="651"/>
      <c r="P7" s="651"/>
      <c r="Q7" s="651"/>
      <c r="R7" s="756" t="s">
        <v>485</v>
      </c>
      <c r="S7" s="757"/>
      <c r="T7" s="757"/>
      <c r="U7" s="758"/>
      <c r="V7" s="765" t="s">
        <v>25</v>
      </c>
      <c r="W7" s="766"/>
      <c r="X7" s="767"/>
      <c r="Y7" s="756" t="s">
        <v>57</v>
      </c>
      <c r="Z7" s="757"/>
      <c r="AA7" s="758"/>
      <c r="AB7" s="756" t="s">
        <v>592</v>
      </c>
      <c r="AC7" s="757"/>
      <c r="AD7" s="757"/>
      <c r="AE7" s="757"/>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64.5" thickBot="1" x14ac:dyDescent="0.4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40" si="0">Vin</f>
        <v>21</v>
      </c>
      <c r="I9" s="4">
        <f t="shared" ref="I9:I40" si="1">MODE</f>
        <v>1</v>
      </c>
      <c r="J9">
        <v>0</v>
      </c>
      <c r="K9" s="360">
        <f t="shared" ref="K9:K40" si="2">Iout*G9/100/Number_of_Phases</f>
        <v>0</v>
      </c>
      <c r="L9" s="4">
        <f t="shared" ref="L9:L40" si="3">Vout*K9/(Vin*Efficiency)</f>
        <v>0</v>
      </c>
      <c r="M9" s="360">
        <f t="shared" ref="M9:M40" si="4">(Vout+(Rdson2+Rs+Rdcr)*K9)/(Vin+(Rs+Rdson2-Rdson1)*K9)</f>
        <v>0.95238095238095233</v>
      </c>
      <c r="N9" s="4">
        <f t="shared" ref="N9:N40" si="5">(Vin-(Rdson1+Rdcr)*K9-Vout)*M9/(Fsw*Lf)</f>
        <v>0.31746031746031744</v>
      </c>
      <c r="O9" s="4">
        <f>K9+N9/2</f>
        <v>0.15873015873015872</v>
      </c>
      <c r="P9" s="4">
        <f>K9-N9/2</f>
        <v>-0.15873015873015872</v>
      </c>
      <c r="Q9" s="4">
        <f t="shared" ref="Q9:Q40" si="6">IF(MIN(Vin, -P9/(Coss_Q1+Coss_Q2)*0.00000002)&lt;0, 0, MIN(Vin, -P9/(Coss_Q1+Coss_Q2)*0.00000002))</f>
        <v>1.6594893751192759</v>
      </c>
      <c r="R9" s="4">
        <f>SQRT(K9^2+(N9^2)/12)</f>
        <v>9.1642899871369157E-2</v>
      </c>
      <c r="S9" s="360">
        <f t="shared" ref="S9:S40" si="7">R9^2*Rdcr</f>
        <v>3.3593684387335169E-5</v>
      </c>
      <c r="T9" s="360">
        <f t="shared" ref="T9:T40" si="8">Core_Loss_Ch1</f>
        <v>0.3</v>
      </c>
      <c r="U9" s="360">
        <f t="shared" ref="U9:U40" si="9">(T9+S9*(1+Ltc*(Ta-25)))/(1-S9*Ltc*ThetaCa)</f>
        <v>0.30003440002526249</v>
      </c>
      <c r="V9" s="4">
        <f>N9/SQRT(12)</f>
        <v>9.1642899871369171E-2</v>
      </c>
      <c r="W9" s="360">
        <f t="shared" ref="W9:W73" si="10">RCoutEsr*V9^2</f>
        <v>1.6796842193667591E-5</v>
      </c>
      <c r="X9" s="360">
        <f>W9</f>
        <v>1.6796842193667591E-5</v>
      </c>
      <c r="Y9" s="4">
        <f>SQRT(M9*(1-M9))*SQRT(K9^2+(N9^2)/12)</f>
        <v>1.9516167025484598E-2</v>
      </c>
      <c r="Z9" s="360">
        <f t="shared" ref="Z9:Z73" si="11">RCinEsr*Y9^2</f>
        <v>3.8088077536661234E-7</v>
      </c>
      <c r="AA9" s="541">
        <f>Z9</f>
        <v>3.8088077536661234E-7</v>
      </c>
      <c r="AB9" s="360">
        <f>SQRT(M9)*SQRT(K9^2+(N9^2)/12)</f>
        <v>8.9434312669684282E-2</v>
      </c>
      <c r="AC9" s="360">
        <f t="shared" ref="AC9:AC40" si="12">Rdson1*AB9^2</f>
        <v>4.7990977696193109E-5</v>
      </c>
      <c r="AD9" s="360">
        <f t="shared" ref="AD9:AD40" si="13">(Vin*K9/2)*Fsw*(Tr_buck+Tf_buck)</f>
        <v>0</v>
      </c>
      <c r="AE9" s="360">
        <f t="shared" ref="AE9:AE40" si="14">(0.5*Coss_Q1*(Vin-Q9)^2-0.5*Coss_Q2*(Vin-Q9)^2+(Qoss_Q2*(Vin-Q9)/Vin)*Vin)*Fsw</f>
        <v>0.60421033021216175</v>
      </c>
      <c r="AF9" s="360">
        <f t="shared" ref="AF9:AF40" si="15">IF(K9&gt;N9/2,0,ABS(K9-N9/2)*Vsd_Q1*Deadtime*Fsw)</f>
        <v>3.1111111111111105E-3</v>
      </c>
      <c r="AG9" s="360">
        <f t="shared" ref="AG9:AG40" si="16">(AF9+AE9+AD9+AC9*(1+RdsonTopTc*Ta-RdsonTopTc*25))/(1-AC9*RdsonTopTc*ThetaJA_Q1)</f>
        <v>0.60737526200749936</v>
      </c>
      <c r="AH9" s="360">
        <f t="shared" ref="AH9:AH40" si="17">SQRT((1-M9))*SQRT(K9^2+(N9^2)/12)</f>
        <v>1.9998120265038485E-2</v>
      </c>
      <c r="AI9" s="360">
        <f t="shared" ref="AI9:AI40" si="18">Rdson2*AH9^2</f>
        <v>9.9981203533735742E-7</v>
      </c>
      <c r="AJ9" s="360">
        <f t="shared" ref="AJ9:AJ40" si="19">IF(K9&lt;N9/2,Deadtime*Fsw*IF(VfdSky_Q2&gt;0,0,Vsd_Q2)*(K9+N9/2),2*Deadtime*Fsw*IF(VfdSky_Q2&gt;0,0,Vsd_Q2)*K9)</f>
        <v>3.1111111111111109E-3</v>
      </c>
      <c r="AK9" s="360">
        <f t="shared" ref="AK9:AK40" si="20">(AJ9+AI9*(1+RdsonBotTc*Ta-RdsonBotTc*25))/(1-AI9*RdsonBotTc*ThetaJA_Q2)</f>
        <v>3.1121113960984651E-3</v>
      </c>
      <c r="AL9" s="360">
        <f t="shared" ref="AL9:AL40" si="21">2*Deadtime*Fsw*IF(VfdSky_Q2&gt;0,VfdSky_Q2,Vsd_Q2)*K9</f>
        <v>0</v>
      </c>
      <c r="AM9" s="360">
        <f t="shared" ref="AM9:AM40" si="22">IF(QrrSky_Q2&gt;0,QrrSky_Q2,Qrr_Q2*K9/(Iout/Number_of_Phases))*Fsw*Vin</f>
        <v>0</v>
      </c>
      <c r="AN9" s="360">
        <f t="shared" ref="AN9:AN40" si="23">CHOOSE(SENSING_TYPE, Rs*R9^2, 0)</f>
        <v>3.3593684387335169E-5</v>
      </c>
      <c r="AO9" s="360">
        <f t="shared" ref="AO9:AO40" si="24">Iq*Vin</f>
        <v>7.3499999999999998E-4</v>
      </c>
      <c r="AP9" s="360">
        <f t="shared" ref="AP9:AP40" si="25">IF(Ext_VCC=1,  (Qg_Q1+Qg_Q2)*Fsw*VCC, (Qg_Q1+Qg_Q2)*Fsw*Vin)</f>
        <v>0.32999999999999996</v>
      </c>
      <c r="AQ9" s="360">
        <f t="shared" ref="AQ9:AQ72" si="26">(Vin-VCC)*Fsw*(Qg_Q1+Qg_Q2)+(RdsonDRT+RdsonDRT2)*Fsw*Qg_Q1*VCC/(RdsonDRT+2*Rgate1+RdsonDRT2)+(RdsonDRB+RdsonDRB2)*Fsw*Qg_Q2*VCC/(RdsonDRB+2*Rgate2+RdsonDRB2)</f>
        <v>1.2539999999999998</v>
      </c>
      <c r="AR9" s="360">
        <f t="shared" ref="AR9:AR40" si="27">(Qg_Q1+Qg_Q2)*Fsw*(Vin-VCC)</f>
        <v>1.0559999999999998</v>
      </c>
      <c r="AS9" s="360">
        <f t="shared" ref="AS9:AS40" si="28">SUM(AO9:AP9)</f>
        <v>0.33073499999999995</v>
      </c>
      <c r="AT9" s="360">
        <f t="shared" ref="AT9:AT40" si="29" xml:space="preserve"> SUM(U9,X9,AA9,AG9,AK9,AL9,AM9,AS9,AN9)</f>
        <v>1.2413075448362167</v>
      </c>
      <c r="AU9">
        <f t="shared" ref="AU9:AU40" si="30">Vout*K9</f>
        <v>0</v>
      </c>
      <c r="AV9" s="542">
        <f>AU9/(AU9+AT9)</f>
        <v>0</v>
      </c>
      <c r="AW9" s="551">
        <f t="shared" ref="AW9:AW40" si="31">ThetaJA_Q1*BC9</f>
        <v>30.368763100374967</v>
      </c>
      <c r="AX9" s="551">
        <f t="shared" ref="AX9:AX40" si="32">ThetaJA_Q2*BD9</f>
        <v>0.11826023305174167</v>
      </c>
      <c r="AZ9" s="4">
        <f>AV9*100</f>
        <v>0</v>
      </c>
      <c r="BA9" s="360">
        <f t="shared" ref="BA9:BA40" si="33">U9</f>
        <v>0.30003440002526249</v>
      </c>
      <c r="BB9" s="360">
        <f t="shared" ref="BB9:BB40" si="34">AG9+AK9+AM9</f>
        <v>0.61048737340359782</v>
      </c>
      <c r="BC9" s="360">
        <f t="shared" ref="BC9:BC40" si="35">AG9+AM9*0.66</f>
        <v>0.60737526200749936</v>
      </c>
      <c r="BD9" s="360">
        <f t="shared" ref="BD9:BD40" si="36">AK9+AM9*0.33</f>
        <v>3.1121113960984651E-3</v>
      </c>
      <c r="BE9" s="360">
        <f t="shared" ref="BE9:BE40" si="37">AN9</f>
        <v>3.3593684387335169E-5</v>
      </c>
      <c r="BJ9" s="18"/>
      <c r="BK9" s="18"/>
      <c r="BL9" s="18"/>
      <c r="BM9" s="19"/>
    </row>
    <row r="10" spans="1:65" x14ac:dyDescent="0.2">
      <c r="A10" s="495"/>
      <c r="B10" s="24"/>
      <c r="C10" s="16"/>
      <c r="D10" s="17"/>
      <c r="G10">
        <v>1</v>
      </c>
      <c r="H10" s="548">
        <f t="shared" si="0"/>
        <v>21</v>
      </c>
      <c r="I10" s="4">
        <f t="shared" si="1"/>
        <v>1</v>
      </c>
      <c r="J10" s="360">
        <f t="shared" ref="J10:J41" si="38">Iout*G10/100</f>
        <v>0.05</v>
      </c>
      <c r="K10" s="360">
        <f t="shared" si="2"/>
        <v>0.05</v>
      </c>
      <c r="L10" s="4">
        <f t="shared" si="3"/>
        <v>5.2910052910052907E-2</v>
      </c>
      <c r="M10" s="360">
        <f t="shared" si="4"/>
        <v>0.95240481856569215</v>
      </c>
      <c r="N10" s="4">
        <f t="shared" si="5"/>
        <v>0.31730953871880346</v>
      </c>
      <c r="O10" s="4">
        <f t="shared" ref="O10:O73" si="39">K10+N10/2</f>
        <v>0.20865476935940175</v>
      </c>
      <c r="P10" s="4">
        <f t="shared" ref="P10:P73" si="40">K10-N10/2</f>
        <v>-0.10865476935940173</v>
      </c>
      <c r="Q10" s="4">
        <f t="shared" si="6"/>
        <v>1.1359620424401646</v>
      </c>
      <c r="R10" s="4">
        <f t="shared" ref="R10:R73" si="41">SQRT(K10^2+(N10^2)/12)</f>
        <v>0.1043572962478506</v>
      </c>
      <c r="S10" s="360">
        <f t="shared" si="7"/>
        <v>4.3561781120646611E-5</v>
      </c>
      <c r="T10" s="360">
        <f t="shared" si="8"/>
        <v>0.3</v>
      </c>
      <c r="U10" s="360">
        <f t="shared" si="9"/>
        <v>0.30004460741932182</v>
      </c>
      <c r="V10" s="4">
        <f t="shared" ref="V10:V73" si="42">N10/SQRT(12)</f>
        <v>9.1599373797868588E-2</v>
      </c>
      <c r="W10" s="360">
        <f t="shared" si="10"/>
        <v>1.6780890560323309E-5</v>
      </c>
      <c r="X10" s="360">
        <f t="shared" ref="X10:X73" si="43">W10</f>
        <v>1.6780890560323309E-5</v>
      </c>
      <c r="Y10" s="4">
        <f t="shared" ref="Y10:Y73" si="44">SQRT(M10*(1-M10))*SQRT(K10^2+(N10^2)/12)</f>
        <v>2.2218518834636367E-2</v>
      </c>
      <c r="Z10" s="360">
        <f t="shared" si="11"/>
        <v>4.9366257920509095E-7</v>
      </c>
      <c r="AA10" s="541">
        <f t="shared" ref="AA10:AA73" si="45">Z10</f>
        <v>4.9366257920509095E-7</v>
      </c>
      <c r="AB10" s="360">
        <f t="shared" ref="AB10:AB73" si="46">SQRT(M10)*SQRT(K10^2+(N10^2)/12)</f>
        <v>0.10184356907115913</v>
      </c>
      <c r="AC10" s="360">
        <f t="shared" si="12"/>
        <v>6.2232675366911765E-5</v>
      </c>
      <c r="AD10" s="360">
        <f t="shared" si="13"/>
        <v>3.7341174295440573E-3</v>
      </c>
      <c r="AE10" s="360">
        <f t="shared" si="14"/>
        <v>0.60510181153625486</v>
      </c>
      <c r="AF10" s="360">
        <f t="shared" si="15"/>
        <v>2.1296334794442735E-3</v>
      </c>
      <c r="AG10" s="360">
        <f t="shared" si="16"/>
        <v>0.61103540039415216</v>
      </c>
      <c r="AH10" s="360">
        <f t="shared" si="17"/>
        <v>2.2766921597126292E-2</v>
      </c>
      <c r="AI10" s="360">
        <f t="shared" si="18"/>
        <v>1.2958317975242391E-6</v>
      </c>
      <c r="AJ10" s="360">
        <f t="shared" si="19"/>
        <v>4.0896334794442738E-3</v>
      </c>
      <c r="AK10" s="360">
        <f t="shared" si="20"/>
        <v>4.0909301170177119E-3</v>
      </c>
      <c r="AL10" s="360">
        <f t="shared" si="21"/>
        <v>1.9599999999999999E-3</v>
      </c>
      <c r="AM10" s="360">
        <f t="shared" si="22"/>
        <v>2.5199999999999997E-2</v>
      </c>
      <c r="AN10" s="360">
        <f t="shared" si="23"/>
        <v>4.3561781120646611E-5</v>
      </c>
      <c r="AO10" s="360">
        <f t="shared" si="24"/>
        <v>7.3499999999999998E-4</v>
      </c>
      <c r="AP10" s="360">
        <f t="shared" si="25"/>
        <v>0.32999999999999996</v>
      </c>
      <c r="AQ10" s="360">
        <f t="shared" si="26"/>
        <v>1.2539999999999998</v>
      </c>
      <c r="AR10" s="360">
        <f t="shared" si="27"/>
        <v>1.0559999999999998</v>
      </c>
      <c r="AS10" s="360">
        <f t="shared" si="28"/>
        <v>0.33073499999999995</v>
      </c>
      <c r="AT10" s="360">
        <f t="shared" si="29"/>
        <v>1.2731267742647518</v>
      </c>
      <c r="AU10">
        <f t="shared" si="30"/>
        <v>1</v>
      </c>
      <c r="AV10" s="542">
        <f t="shared" ref="AV10:AV73" si="47">AU10/(AU10+AT10)</f>
        <v>0.439922670095447</v>
      </c>
      <c r="AW10" s="551">
        <f t="shared" si="31"/>
        <v>31.383370019707606</v>
      </c>
      <c r="AX10" s="551">
        <f t="shared" si="32"/>
        <v>0.47146334444667304</v>
      </c>
      <c r="AY10" s="9"/>
      <c r="AZ10" s="4">
        <f t="shared" ref="AZ10:AZ73" si="48">AV10*100</f>
        <v>43.992267009544697</v>
      </c>
      <c r="BA10" s="360">
        <f t="shared" si="33"/>
        <v>0.30004460741932182</v>
      </c>
      <c r="BB10" s="360">
        <f t="shared" si="34"/>
        <v>0.64032633051116983</v>
      </c>
      <c r="BC10" s="360">
        <f t="shared" si="35"/>
        <v>0.62766740039415214</v>
      </c>
      <c r="BD10" s="360">
        <f t="shared" si="36"/>
        <v>1.2406930117017712E-2</v>
      </c>
      <c r="BE10" s="360">
        <f t="shared" si="37"/>
        <v>4.3561781120646611E-5</v>
      </c>
      <c r="BJ10" s="18"/>
      <c r="BK10" s="18"/>
      <c r="BL10" s="18"/>
      <c r="BM10" s="19"/>
    </row>
    <row r="11" spans="1:65" x14ac:dyDescent="0.2">
      <c r="A11" s="20" t="s">
        <v>3</v>
      </c>
      <c r="B11" s="5">
        <f>Vin</f>
        <v>21</v>
      </c>
      <c r="C11" s="440" t="s">
        <v>0</v>
      </c>
      <c r="D11" s="21" t="s">
        <v>3</v>
      </c>
      <c r="G11">
        <v>2</v>
      </c>
      <c r="H11" s="548">
        <f t="shared" si="0"/>
        <v>21</v>
      </c>
      <c r="I11" s="4">
        <f t="shared" si="1"/>
        <v>1</v>
      </c>
      <c r="J11" s="360">
        <f t="shared" si="38"/>
        <v>0.1</v>
      </c>
      <c r="K11" s="360">
        <f t="shared" si="2"/>
        <v>0.1</v>
      </c>
      <c r="L11" s="4">
        <f t="shared" si="3"/>
        <v>0.10582010582010581</v>
      </c>
      <c r="M11" s="360">
        <f t="shared" si="4"/>
        <v>0.95242868469360775</v>
      </c>
      <c r="N11" s="4">
        <f t="shared" si="5"/>
        <v>0.317158752002971</v>
      </c>
      <c r="O11" s="4">
        <f t="shared" si="39"/>
        <v>0.25857937600148551</v>
      </c>
      <c r="P11" s="4">
        <f t="shared" si="40"/>
        <v>-5.8579376001485495E-2</v>
      </c>
      <c r="Q11" s="4">
        <f t="shared" si="6"/>
        <v>0.61243466807616831</v>
      </c>
      <c r="R11" s="4">
        <f t="shared" si="41"/>
        <v>0.13558197826778765</v>
      </c>
      <c r="S11" s="360">
        <f t="shared" si="7"/>
        <v>7.3529891324027356E-5</v>
      </c>
      <c r="T11" s="360">
        <f t="shared" si="8"/>
        <v>0.3</v>
      </c>
      <c r="U11" s="360">
        <f t="shared" si="9"/>
        <v>0.30007529505163077</v>
      </c>
      <c r="V11" s="4">
        <f t="shared" si="42"/>
        <v>9.1555845422380544E-2</v>
      </c>
      <c r="W11" s="360">
        <f t="shared" si="10"/>
        <v>1.676494566201368E-5</v>
      </c>
      <c r="X11" s="360">
        <f t="shared" si="43"/>
        <v>1.676494566201368E-5</v>
      </c>
      <c r="Y11" s="4">
        <f t="shared" si="44"/>
        <v>2.8859631372027728E-2</v>
      </c>
      <c r="Z11" s="360">
        <f t="shared" si="11"/>
        <v>8.328783229293271E-7</v>
      </c>
      <c r="AA11" s="541">
        <f t="shared" si="45"/>
        <v>8.328783229293271E-7</v>
      </c>
      <c r="AB11" s="360">
        <f t="shared" si="46"/>
        <v>0.13231777817002455</v>
      </c>
      <c r="AC11" s="360">
        <f t="shared" si="12"/>
        <v>1.0504796651911096E-4</v>
      </c>
      <c r="AD11" s="360">
        <f t="shared" si="13"/>
        <v>7.4682348590881147E-3</v>
      </c>
      <c r="AE11" s="360">
        <f t="shared" si="14"/>
        <v>0.60517817633236104</v>
      </c>
      <c r="AF11" s="360">
        <f t="shared" si="15"/>
        <v>1.1481557696291157E-3</v>
      </c>
      <c r="AG11" s="360">
        <f t="shared" si="16"/>
        <v>0.61391251297981919</v>
      </c>
      <c r="AH11" s="360">
        <f t="shared" si="17"/>
        <v>2.9571581140598744E-2</v>
      </c>
      <c r="AI11" s="360">
        <f t="shared" si="18"/>
        <v>2.1861960278875385E-6</v>
      </c>
      <c r="AJ11" s="360">
        <f t="shared" si="19"/>
        <v>5.068155769629116E-3</v>
      </c>
      <c r="AK11" s="360">
        <f t="shared" si="20"/>
        <v>5.0703436505413063E-3</v>
      </c>
      <c r="AL11" s="360">
        <f t="shared" si="21"/>
        <v>3.9199999999999999E-3</v>
      </c>
      <c r="AM11" s="360">
        <f t="shared" si="22"/>
        <v>5.0399999999999993E-2</v>
      </c>
      <c r="AN11" s="360">
        <f t="shared" si="23"/>
        <v>7.3529891324027356E-5</v>
      </c>
      <c r="AO11" s="360">
        <f t="shared" si="24"/>
        <v>7.3499999999999998E-4</v>
      </c>
      <c r="AP11" s="360">
        <f t="shared" si="25"/>
        <v>0.32999999999999996</v>
      </c>
      <c r="AQ11" s="360">
        <f t="shared" si="26"/>
        <v>1.2539999999999998</v>
      </c>
      <c r="AR11" s="360">
        <f t="shared" si="27"/>
        <v>1.0559999999999998</v>
      </c>
      <c r="AS11" s="360">
        <f t="shared" si="28"/>
        <v>0.33073499999999995</v>
      </c>
      <c r="AT11" s="360">
        <f t="shared" si="29"/>
        <v>1.3042042793973001</v>
      </c>
      <c r="AU11">
        <f t="shared" si="30"/>
        <v>2</v>
      </c>
      <c r="AV11" s="542">
        <f t="shared" si="47"/>
        <v>0.60528945273468615</v>
      </c>
      <c r="AW11" s="551">
        <f t="shared" si="31"/>
        <v>32.358825648990958</v>
      </c>
      <c r="AX11" s="551">
        <f t="shared" si="32"/>
        <v>0.82468905872056952</v>
      </c>
      <c r="AY11" s="9"/>
      <c r="AZ11" s="4">
        <f t="shared" si="48"/>
        <v>60.528945273468615</v>
      </c>
      <c r="BA11" s="360">
        <f t="shared" si="33"/>
        <v>0.30007529505163077</v>
      </c>
      <c r="BB11" s="360">
        <f t="shared" si="34"/>
        <v>0.66938285663036046</v>
      </c>
      <c r="BC11" s="360">
        <f t="shared" si="35"/>
        <v>0.64717651297981915</v>
      </c>
      <c r="BD11" s="360">
        <f t="shared" si="36"/>
        <v>2.1702343650541304E-2</v>
      </c>
      <c r="BE11" s="360">
        <f t="shared" si="37"/>
        <v>7.3529891324027356E-5</v>
      </c>
      <c r="BJ11" s="18"/>
      <c r="BK11" s="18"/>
      <c r="BL11" s="18"/>
      <c r="BM11" s="19"/>
    </row>
    <row r="12" spans="1:65" x14ac:dyDescent="0.2">
      <c r="A12" s="22" t="s">
        <v>4</v>
      </c>
      <c r="B12" s="5">
        <f>Vout</f>
        <v>20</v>
      </c>
      <c r="C12" s="440" t="s">
        <v>0</v>
      </c>
      <c r="D12" s="21" t="s">
        <v>4</v>
      </c>
      <c r="G12">
        <v>3</v>
      </c>
      <c r="H12" s="548">
        <f t="shared" si="0"/>
        <v>21</v>
      </c>
      <c r="I12" s="4">
        <f t="shared" si="1"/>
        <v>1</v>
      </c>
      <c r="J12" s="360">
        <f t="shared" si="38"/>
        <v>0.15</v>
      </c>
      <c r="K12" s="360">
        <f t="shared" si="2"/>
        <v>0.15</v>
      </c>
      <c r="L12" s="4">
        <f t="shared" si="3"/>
        <v>0.15873015873015872</v>
      </c>
      <c r="M12" s="360">
        <f t="shared" si="4"/>
        <v>0.9524525507646997</v>
      </c>
      <c r="N12" s="4">
        <f t="shared" si="5"/>
        <v>0.31700795731285086</v>
      </c>
      <c r="O12" s="4">
        <f t="shared" si="39"/>
        <v>0.30850397865642543</v>
      </c>
      <c r="P12" s="4">
        <f t="shared" si="40"/>
        <v>-8.5039786564254372E-3</v>
      </c>
      <c r="Q12" s="4">
        <f t="shared" si="6"/>
        <v>8.8907252027448383E-2</v>
      </c>
      <c r="R12" s="4">
        <f t="shared" si="41"/>
        <v>0.17571142179713925</v>
      </c>
      <c r="S12" s="360">
        <f t="shared" si="7"/>
        <v>1.2349801499988874E-4</v>
      </c>
      <c r="T12" s="360">
        <f t="shared" si="8"/>
        <v>0.3</v>
      </c>
      <c r="U12" s="360">
        <f t="shared" si="9"/>
        <v>0.30012646321679637</v>
      </c>
      <c r="V12" s="4">
        <f t="shared" si="42"/>
        <v>9.151231474491392E-2</v>
      </c>
      <c r="W12" s="360">
        <f t="shared" si="10"/>
        <v>1.6749007499944383E-5</v>
      </c>
      <c r="X12" s="360">
        <f t="shared" si="43"/>
        <v>1.6749007499944383E-5</v>
      </c>
      <c r="Y12" s="4">
        <f t="shared" si="44"/>
        <v>3.7392566892604194E-2</v>
      </c>
      <c r="Z12" s="360">
        <f t="shared" si="11"/>
        <v>1.3982040588178793E-6</v>
      </c>
      <c r="AA12" s="541">
        <f t="shared" si="45"/>
        <v>1.3982040588178793E-6</v>
      </c>
      <c r="AB12" s="360">
        <f t="shared" si="46"/>
        <v>0.17148323489558764</v>
      </c>
      <c r="AC12" s="360">
        <f t="shared" si="12"/>
        <v>1.7643899910153174E-4</v>
      </c>
      <c r="AD12" s="360">
        <f t="shared" si="13"/>
        <v>1.1202352288632172E-2</v>
      </c>
      <c r="AE12" s="360">
        <f t="shared" si="14"/>
        <v>0.6044394244057737</v>
      </c>
      <c r="AF12" s="360">
        <f t="shared" si="15"/>
        <v>1.6667798166593856E-4</v>
      </c>
      <c r="AG12" s="360">
        <f t="shared" si="16"/>
        <v>0.6160066311938629</v>
      </c>
      <c r="AH12" s="360">
        <f t="shared" si="17"/>
        <v>3.8314539012193415E-2</v>
      </c>
      <c r="AI12" s="360">
        <f t="shared" si="18"/>
        <v>3.6700097492922278E-6</v>
      </c>
      <c r="AJ12" s="360">
        <f t="shared" si="19"/>
        <v>6.0466779816659381E-3</v>
      </c>
      <c r="AK12" s="360">
        <f t="shared" si="20"/>
        <v>6.0503513665522025E-3</v>
      </c>
      <c r="AL12" s="360">
        <f t="shared" si="21"/>
        <v>5.8799999999999998E-3</v>
      </c>
      <c r="AM12" s="360">
        <f t="shared" si="22"/>
        <v>7.5600000000000001E-2</v>
      </c>
      <c r="AN12" s="360">
        <f t="shared" si="23"/>
        <v>1.2349801499988874E-4</v>
      </c>
      <c r="AO12" s="360">
        <f t="shared" si="24"/>
        <v>7.3499999999999998E-4</v>
      </c>
      <c r="AP12" s="360">
        <f t="shared" si="25"/>
        <v>0.32999999999999996</v>
      </c>
      <c r="AQ12" s="360">
        <f t="shared" si="26"/>
        <v>1.2539999999999998</v>
      </c>
      <c r="AR12" s="360">
        <f t="shared" si="27"/>
        <v>1.0559999999999998</v>
      </c>
      <c r="AS12" s="360">
        <f t="shared" si="28"/>
        <v>0.33073499999999995</v>
      </c>
      <c r="AT12" s="360">
        <f t="shared" si="29"/>
        <v>1.3345400910037699</v>
      </c>
      <c r="AU12">
        <f t="shared" si="30"/>
        <v>3</v>
      </c>
      <c r="AV12" s="542">
        <f t="shared" si="47"/>
        <v>0.69211495037880144</v>
      </c>
      <c r="AW12" s="551">
        <f t="shared" si="31"/>
        <v>33.295131559693147</v>
      </c>
      <c r="AX12" s="551">
        <f t="shared" si="32"/>
        <v>1.1779373519289837</v>
      </c>
      <c r="AY12" s="9"/>
      <c r="AZ12" s="4">
        <f t="shared" si="48"/>
        <v>69.211495037880141</v>
      </c>
      <c r="BA12" s="360">
        <f t="shared" si="33"/>
        <v>0.30012646321679637</v>
      </c>
      <c r="BB12" s="360">
        <f t="shared" si="34"/>
        <v>0.69765698256041508</v>
      </c>
      <c r="BC12" s="360">
        <f t="shared" si="35"/>
        <v>0.66590263119386295</v>
      </c>
      <c r="BD12" s="360">
        <f t="shared" si="36"/>
        <v>3.0998351366552206E-2</v>
      </c>
      <c r="BE12" s="360">
        <f t="shared" si="37"/>
        <v>1.2349801499988874E-4</v>
      </c>
      <c r="BJ12" s="18"/>
      <c r="BK12" s="18"/>
      <c r="BL12" s="18"/>
      <c r="BM12" s="19"/>
    </row>
    <row r="13" spans="1:65" x14ac:dyDescent="0.2">
      <c r="A13" s="22" t="s">
        <v>6</v>
      </c>
      <c r="B13" s="5">
        <f>Fsw/1000</f>
        <v>2000</v>
      </c>
      <c r="C13" s="440" t="s">
        <v>2</v>
      </c>
      <c r="D13" s="21" t="s">
        <v>94</v>
      </c>
      <c r="G13">
        <v>4</v>
      </c>
      <c r="H13" s="548">
        <f t="shared" si="0"/>
        <v>21</v>
      </c>
      <c r="I13" s="4">
        <f t="shared" si="1"/>
        <v>1</v>
      </c>
      <c r="J13" s="360">
        <f t="shared" si="38"/>
        <v>0.2</v>
      </c>
      <c r="K13" s="360">
        <f t="shared" si="2"/>
        <v>0.2</v>
      </c>
      <c r="L13" s="4">
        <f t="shared" si="3"/>
        <v>0.21164021164021163</v>
      </c>
      <c r="M13" s="360">
        <f t="shared" si="4"/>
        <v>0.95247641677896766</v>
      </c>
      <c r="N13" s="4">
        <f t="shared" si="5"/>
        <v>0.31685715464847025</v>
      </c>
      <c r="O13" s="4">
        <f t="shared" si="39"/>
        <v>0.35842857732423516</v>
      </c>
      <c r="P13" s="4">
        <f t="shared" si="40"/>
        <v>4.1571422675764885E-2</v>
      </c>
      <c r="Q13" s="4">
        <f t="shared" si="6"/>
        <v>0</v>
      </c>
      <c r="R13" s="4">
        <f t="shared" si="41"/>
        <v>0.21992393693652446</v>
      </c>
      <c r="S13" s="360">
        <f t="shared" si="7"/>
        <v>1.9346615215064153E-4</v>
      </c>
      <c r="T13" s="360">
        <f t="shared" si="8"/>
        <v>0.3</v>
      </c>
      <c r="U13" s="360">
        <f t="shared" si="9"/>
        <v>0.30019811240604588</v>
      </c>
      <c r="V13" s="4">
        <f t="shared" si="42"/>
        <v>9.1468781765476598E-2</v>
      </c>
      <c r="W13" s="360">
        <f t="shared" si="10"/>
        <v>1.673307607532077E-5</v>
      </c>
      <c r="X13" s="360">
        <f t="shared" si="43"/>
        <v>1.673307607532077E-5</v>
      </c>
      <c r="Y13" s="4">
        <f t="shared" si="44"/>
        <v>4.6790125096185055E-2</v>
      </c>
      <c r="Z13" s="360">
        <f t="shared" si="11"/>
        <v>2.1893158065166464E-6</v>
      </c>
      <c r="AA13" s="541">
        <f t="shared" si="45"/>
        <v>2.1893158065166464E-6</v>
      </c>
      <c r="AB13" s="360">
        <f t="shared" si="46"/>
        <v>0.2146345425184735</v>
      </c>
      <c r="AC13" s="360">
        <f t="shared" si="12"/>
        <v>2.7640792105268648E-4</v>
      </c>
      <c r="AD13" s="360">
        <f t="shared" si="13"/>
        <v>1.4936469718176229E-2</v>
      </c>
      <c r="AE13" s="360">
        <f t="shared" si="14"/>
        <v>0.6042329999999998</v>
      </c>
      <c r="AF13" s="360">
        <f t="shared" si="15"/>
        <v>0</v>
      </c>
      <c r="AG13" s="360">
        <f t="shared" si="16"/>
        <v>0.61948012348184167</v>
      </c>
      <c r="AH13" s="360">
        <f t="shared" si="17"/>
        <v>4.7943208023097282E-2</v>
      </c>
      <c r="AI13" s="360">
        <f t="shared" si="18"/>
        <v>5.7463779888649485E-6</v>
      </c>
      <c r="AJ13" s="360">
        <f t="shared" si="19"/>
        <v>7.8399999999999997E-3</v>
      </c>
      <c r="AK13" s="360">
        <f t="shared" si="20"/>
        <v>7.8457532308577431E-3</v>
      </c>
      <c r="AL13" s="360">
        <f t="shared" si="21"/>
        <v>7.8399999999999997E-3</v>
      </c>
      <c r="AM13" s="360">
        <f t="shared" si="22"/>
        <v>0.10079999999999999</v>
      </c>
      <c r="AN13" s="360">
        <f t="shared" si="23"/>
        <v>1.9346615215064153E-4</v>
      </c>
      <c r="AO13" s="360">
        <f t="shared" si="24"/>
        <v>7.3499999999999998E-4</v>
      </c>
      <c r="AP13" s="360">
        <f t="shared" si="25"/>
        <v>0.32999999999999996</v>
      </c>
      <c r="AQ13" s="360">
        <f t="shared" si="26"/>
        <v>1.2539999999999998</v>
      </c>
      <c r="AR13" s="360">
        <f t="shared" si="27"/>
        <v>1.0559999999999998</v>
      </c>
      <c r="AS13" s="360">
        <f t="shared" si="28"/>
        <v>0.33073499999999995</v>
      </c>
      <c r="AT13" s="360">
        <f t="shared" si="29"/>
        <v>1.3671113776627777</v>
      </c>
      <c r="AU13">
        <f t="shared" si="30"/>
        <v>4</v>
      </c>
      <c r="AV13" s="542">
        <f t="shared" si="47"/>
        <v>0.74527985699113342</v>
      </c>
      <c r="AW13" s="551">
        <f t="shared" si="31"/>
        <v>34.300406174092082</v>
      </c>
      <c r="AX13" s="551">
        <f t="shared" si="32"/>
        <v>1.562170622772594</v>
      </c>
      <c r="AY13" s="9"/>
      <c r="AZ13" s="4">
        <f t="shared" si="48"/>
        <v>74.527985699113344</v>
      </c>
      <c r="BA13" s="360">
        <f t="shared" si="33"/>
        <v>0.30019811240604588</v>
      </c>
      <c r="BB13" s="360">
        <f t="shared" si="34"/>
        <v>0.72812587671269946</v>
      </c>
      <c r="BC13" s="360">
        <f t="shared" si="35"/>
        <v>0.6860081234818417</v>
      </c>
      <c r="BD13" s="360">
        <f t="shared" si="36"/>
        <v>4.1109753230857735E-2</v>
      </c>
      <c r="BE13" s="360">
        <f t="shared" si="37"/>
        <v>1.9346615215064153E-4</v>
      </c>
      <c r="BJ13" s="18"/>
      <c r="BK13" s="18"/>
      <c r="BL13" s="18"/>
      <c r="BM13" s="19"/>
    </row>
    <row r="14" spans="1:65" x14ac:dyDescent="0.2">
      <c r="A14" s="22" t="s">
        <v>5</v>
      </c>
      <c r="B14" s="5">
        <f>Iout</f>
        <v>5</v>
      </c>
      <c r="C14" s="440" t="s">
        <v>1</v>
      </c>
      <c r="D14" s="21" t="s">
        <v>95</v>
      </c>
      <c r="G14">
        <v>5</v>
      </c>
      <c r="H14" s="548">
        <f t="shared" si="0"/>
        <v>21</v>
      </c>
      <c r="I14" s="4">
        <f t="shared" si="1"/>
        <v>1</v>
      </c>
      <c r="J14" s="360">
        <f t="shared" si="38"/>
        <v>0.25</v>
      </c>
      <c r="K14" s="360">
        <f t="shared" si="2"/>
        <v>0.25</v>
      </c>
      <c r="L14" s="4">
        <f t="shared" si="3"/>
        <v>0.26455026455026454</v>
      </c>
      <c r="M14" s="360">
        <f t="shared" si="4"/>
        <v>0.95250028273641218</v>
      </c>
      <c r="N14" s="4">
        <f t="shared" si="5"/>
        <v>0.31670634400985664</v>
      </c>
      <c r="O14" s="4">
        <f t="shared" si="39"/>
        <v>0.40835317200492832</v>
      </c>
      <c r="P14" s="4">
        <f t="shared" si="40"/>
        <v>9.1646827995071678E-2</v>
      </c>
      <c r="Q14" s="4">
        <f t="shared" si="6"/>
        <v>0</v>
      </c>
      <c r="R14" s="4">
        <f t="shared" si="41"/>
        <v>0.26619274162657808</v>
      </c>
      <c r="S14" s="360">
        <f t="shared" si="7"/>
        <v>2.8343430277869664E-4</v>
      </c>
      <c r="T14" s="360">
        <f t="shared" si="8"/>
        <v>0.3</v>
      </c>
      <c r="U14" s="360">
        <f t="shared" si="9"/>
        <v>0.30029024330723819</v>
      </c>
      <c r="V14" s="4">
        <f t="shared" si="42"/>
        <v>9.1425246484076489E-2</v>
      </c>
      <c r="W14" s="360">
        <f t="shared" si="10"/>
        <v>1.6717151389348282E-5</v>
      </c>
      <c r="X14" s="360">
        <f t="shared" si="43"/>
        <v>1.6717151389348282E-5</v>
      </c>
      <c r="Y14" s="4">
        <f t="shared" si="44"/>
        <v>5.6620575350655296E-2</v>
      </c>
      <c r="Z14" s="360">
        <f t="shared" si="11"/>
        <v>3.2058895530392343E-6</v>
      </c>
      <c r="AA14" s="541">
        <f t="shared" si="45"/>
        <v>3.2058895530392343E-6</v>
      </c>
      <c r="AB14" s="360">
        <f t="shared" si="46"/>
        <v>0.25979379011723241</v>
      </c>
      <c r="AC14" s="360">
        <f t="shared" si="12"/>
        <v>4.0495688030085965E-4</v>
      </c>
      <c r="AD14" s="360">
        <f t="shared" si="13"/>
        <v>1.8670587147720286E-2</v>
      </c>
      <c r="AE14" s="360">
        <f t="shared" si="14"/>
        <v>0.6042329999999998</v>
      </c>
      <c r="AF14" s="360">
        <f t="shared" si="15"/>
        <v>0</v>
      </c>
      <c r="AG14" s="360">
        <f t="shared" si="16"/>
        <v>0.62335903073369958</v>
      </c>
      <c r="AH14" s="360">
        <f t="shared" si="17"/>
        <v>5.8015190348714343E-2</v>
      </c>
      <c r="AI14" s="360">
        <f t="shared" si="18"/>
        <v>8.4144057779938944E-6</v>
      </c>
      <c r="AJ14" s="360">
        <f t="shared" si="19"/>
        <v>9.7999999999999997E-3</v>
      </c>
      <c r="AK14" s="360">
        <f t="shared" si="20"/>
        <v>9.8084269506548243E-3</v>
      </c>
      <c r="AL14" s="360">
        <f t="shared" si="21"/>
        <v>9.7999999999999997E-3</v>
      </c>
      <c r="AM14" s="360">
        <f t="shared" si="22"/>
        <v>0.12599999999999997</v>
      </c>
      <c r="AN14" s="360">
        <f t="shared" si="23"/>
        <v>2.8343430277869664E-4</v>
      </c>
      <c r="AO14" s="360">
        <f t="shared" si="24"/>
        <v>7.3499999999999998E-4</v>
      </c>
      <c r="AP14" s="360">
        <f t="shared" si="25"/>
        <v>0.32999999999999996</v>
      </c>
      <c r="AQ14" s="360">
        <f t="shared" si="26"/>
        <v>1.2539999999999998</v>
      </c>
      <c r="AR14" s="360">
        <f t="shared" si="27"/>
        <v>1.0559999999999998</v>
      </c>
      <c r="AS14" s="360">
        <f t="shared" si="28"/>
        <v>0.33073499999999995</v>
      </c>
      <c r="AT14" s="360">
        <f t="shared" si="29"/>
        <v>1.4002960583353137</v>
      </c>
      <c r="AU14">
        <f t="shared" si="30"/>
        <v>5</v>
      </c>
      <c r="AV14" s="542">
        <f t="shared" si="47"/>
        <v>0.78121386173821405</v>
      </c>
      <c r="AW14" s="551">
        <f t="shared" si="31"/>
        <v>35.325951536684983</v>
      </c>
      <c r="AX14" s="551">
        <f t="shared" si="32"/>
        <v>1.9527602241248831</v>
      </c>
      <c r="AY14" s="9"/>
      <c r="AZ14" s="4">
        <f t="shared" si="48"/>
        <v>78.121386173821406</v>
      </c>
      <c r="BA14" s="360">
        <f t="shared" si="33"/>
        <v>0.30029024330723819</v>
      </c>
      <c r="BB14" s="360">
        <f t="shared" si="34"/>
        <v>0.75916745768435445</v>
      </c>
      <c r="BC14" s="360">
        <f t="shared" si="35"/>
        <v>0.70651903073369959</v>
      </c>
      <c r="BD14" s="360">
        <f t="shared" si="36"/>
        <v>5.138842695065482E-2</v>
      </c>
      <c r="BE14" s="360">
        <f t="shared" si="37"/>
        <v>2.8343430277869664E-4</v>
      </c>
      <c r="BJ14" s="18"/>
      <c r="BK14" s="18"/>
      <c r="BL14" s="18"/>
      <c r="BM14" s="19"/>
    </row>
    <row r="15" spans="1:65" x14ac:dyDescent="0.2">
      <c r="A15" s="23" t="s">
        <v>83</v>
      </c>
      <c r="B15" s="5">
        <f>Ta</f>
        <v>25</v>
      </c>
      <c r="C15" s="440" t="s">
        <v>465</v>
      </c>
      <c r="D15" s="21" t="s">
        <v>96</v>
      </c>
      <c r="G15">
        <v>6</v>
      </c>
      <c r="H15" s="548">
        <f t="shared" si="0"/>
        <v>21</v>
      </c>
      <c r="I15" s="4">
        <f t="shared" si="1"/>
        <v>1</v>
      </c>
      <c r="J15" s="360">
        <f t="shared" si="38"/>
        <v>0.3</v>
      </c>
      <c r="K15" s="360">
        <f t="shared" si="2"/>
        <v>0.3</v>
      </c>
      <c r="L15" s="4">
        <f t="shared" si="3"/>
        <v>0.31746031746031744</v>
      </c>
      <c r="M15" s="360">
        <f t="shared" si="4"/>
        <v>0.95252414863703361</v>
      </c>
      <c r="N15" s="4">
        <f t="shared" si="5"/>
        <v>0.31655552539704079</v>
      </c>
      <c r="O15" s="4">
        <f t="shared" si="39"/>
        <v>0.45827776269852039</v>
      </c>
      <c r="P15" s="4">
        <f t="shared" si="40"/>
        <v>0.14172223730147959</v>
      </c>
      <c r="Q15" s="4">
        <f t="shared" si="6"/>
        <v>0</v>
      </c>
      <c r="R15" s="4">
        <f t="shared" si="41"/>
        <v>0.31360901887799142</v>
      </c>
      <c r="S15" s="360">
        <f t="shared" si="7"/>
        <v>3.9340246688646552E-4</v>
      </c>
      <c r="T15" s="360">
        <f t="shared" si="8"/>
        <v>0.3</v>
      </c>
      <c r="U15" s="360">
        <f t="shared" si="9"/>
        <v>0.3004028568048806</v>
      </c>
      <c r="V15" s="4">
        <f t="shared" si="42"/>
        <v>9.1381708900722461E-2</v>
      </c>
      <c r="W15" s="360">
        <f t="shared" si="10"/>
        <v>1.670123344323276E-5</v>
      </c>
      <c r="X15" s="360">
        <f t="shared" si="43"/>
        <v>1.670123344323276E-5</v>
      </c>
      <c r="Y15" s="4">
        <f t="shared" si="44"/>
        <v>6.6690338526411513E-2</v>
      </c>
      <c r="Z15" s="360">
        <f t="shared" si="11"/>
        <v>4.4476012527673681E-6</v>
      </c>
      <c r="AA15" s="541">
        <f t="shared" si="45"/>
        <v>4.4476012527673681E-6</v>
      </c>
      <c r="AB15" s="360">
        <f t="shared" si="46"/>
        <v>0.30607407185301544</v>
      </c>
      <c r="AC15" s="360">
        <f t="shared" si="12"/>
        <v>5.6208802476410914E-4</v>
      </c>
      <c r="AD15" s="360">
        <f t="shared" si="13"/>
        <v>2.2404704577264345E-2</v>
      </c>
      <c r="AE15" s="360">
        <f t="shared" si="14"/>
        <v>0.6042329999999998</v>
      </c>
      <c r="AF15" s="360">
        <f t="shared" si="15"/>
        <v>0</v>
      </c>
      <c r="AG15" s="360">
        <f t="shared" si="16"/>
        <v>0.62727030882780477</v>
      </c>
      <c r="AH15" s="360">
        <f t="shared" si="17"/>
        <v>6.8332124662793384E-2</v>
      </c>
      <c r="AI15" s="360">
        <f t="shared" si="18"/>
        <v>1.167319815232884E-5</v>
      </c>
      <c r="AJ15" s="360">
        <f t="shared" si="19"/>
        <v>1.176E-2</v>
      </c>
      <c r="AK15" s="360">
        <f t="shared" si="20"/>
        <v>1.177169408497661E-2</v>
      </c>
      <c r="AL15" s="360">
        <f t="shared" si="21"/>
        <v>1.176E-2</v>
      </c>
      <c r="AM15" s="360">
        <f t="shared" si="22"/>
        <v>0.1512</v>
      </c>
      <c r="AN15" s="360">
        <f t="shared" si="23"/>
        <v>3.9340246688646552E-4</v>
      </c>
      <c r="AO15" s="360">
        <f t="shared" si="24"/>
        <v>7.3499999999999998E-4</v>
      </c>
      <c r="AP15" s="360">
        <f t="shared" si="25"/>
        <v>0.32999999999999996</v>
      </c>
      <c r="AQ15" s="360">
        <f t="shared" si="26"/>
        <v>1.2539999999999998</v>
      </c>
      <c r="AR15" s="360">
        <f t="shared" si="27"/>
        <v>1.0559999999999998</v>
      </c>
      <c r="AS15" s="360">
        <f t="shared" si="28"/>
        <v>0.33073499999999995</v>
      </c>
      <c r="AT15" s="360">
        <f t="shared" si="29"/>
        <v>1.4335544110192444</v>
      </c>
      <c r="AU15">
        <f t="shared" si="30"/>
        <v>6</v>
      </c>
      <c r="AV15" s="542">
        <f t="shared" si="47"/>
        <v>0.80715088210100505</v>
      </c>
      <c r="AW15" s="551">
        <f t="shared" si="31"/>
        <v>36.353115441390237</v>
      </c>
      <c r="AX15" s="551">
        <f t="shared" si="32"/>
        <v>2.3433723752291113</v>
      </c>
      <c r="AY15" s="9"/>
      <c r="AZ15" s="4">
        <f t="shared" si="48"/>
        <v>80.715088210100504</v>
      </c>
      <c r="BA15" s="360">
        <f t="shared" si="33"/>
        <v>0.3004028568048806</v>
      </c>
      <c r="BB15" s="360">
        <f t="shared" si="34"/>
        <v>0.79024200291278135</v>
      </c>
      <c r="BC15" s="360">
        <f t="shared" si="35"/>
        <v>0.72706230882780476</v>
      </c>
      <c r="BD15" s="360">
        <f t="shared" si="36"/>
        <v>6.1667694084976611E-2</v>
      </c>
      <c r="BE15" s="360">
        <f t="shared" si="37"/>
        <v>3.9340246688646552E-4</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8"/>
        <v>0.35</v>
      </c>
      <c r="K16" s="360">
        <f t="shared" si="2"/>
        <v>0.35</v>
      </c>
      <c r="L16" s="4">
        <f t="shared" si="3"/>
        <v>0.37037037037037035</v>
      </c>
      <c r="M16" s="360">
        <f t="shared" si="4"/>
        <v>0.95254801448083182</v>
      </c>
      <c r="N16" s="4">
        <f t="shared" si="5"/>
        <v>0.31640469881004996</v>
      </c>
      <c r="O16" s="4">
        <f t="shared" si="39"/>
        <v>0.50820234940502496</v>
      </c>
      <c r="P16" s="4">
        <f t="shared" si="40"/>
        <v>0.191797650594975</v>
      </c>
      <c r="Q16" s="4">
        <f t="shared" si="6"/>
        <v>0</v>
      </c>
      <c r="R16" s="4">
        <f t="shared" si="41"/>
        <v>0.36172180072410598</v>
      </c>
      <c r="S16" s="360">
        <f t="shared" si="7"/>
        <v>5.2337064447635943E-4</v>
      </c>
      <c r="T16" s="360">
        <f t="shared" si="8"/>
        <v>0.3</v>
      </c>
      <c r="U16" s="360">
        <f t="shared" si="9"/>
        <v>0.30053595398015021</v>
      </c>
      <c r="V16" s="4">
        <f t="shared" si="42"/>
        <v>9.133816901542241E-2</v>
      </c>
      <c r="W16" s="360">
        <f t="shared" si="10"/>
        <v>1.6685322238179743E-5</v>
      </c>
      <c r="X16" s="360">
        <f t="shared" si="43"/>
        <v>1.6685322238179743E-5</v>
      </c>
      <c r="Y16" s="4">
        <f t="shared" si="44"/>
        <v>7.6903360313131511E-2</v>
      </c>
      <c r="Z16" s="360">
        <f t="shared" si="11"/>
        <v>5.9141268274513312E-6</v>
      </c>
      <c r="AA16" s="541">
        <f t="shared" si="45"/>
        <v>5.9141268274513312E-6</v>
      </c>
      <c r="AB16" s="360">
        <f t="shared" si="46"/>
        <v>0.35303529151966856</v>
      </c>
      <c r="AC16" s="360">
        <f t="shared" si="12"/>
        <v>7.4780350235026426E-4</v>
      </c>
      <c r="AD16" s="360">
        <f t="shared" si="13"/>
        <v>2.61388220068084E-2</v>
      </c>
      <c r="AE16" s="360">
        <f t="shared" si="14"/>
        <v>0.6042329999999998</v>
      </c>
      <c r="AF16" s="360">
        <f t="shared" si="15"/>
        <v>0</v>
      </c>
      <c r="AG16" s="360">
        <f t="shared" si="16"/>
        <v>0.63121403032167989</v>
      </c>
      <c r="AH16" s="360">
        <f t="shared" si="17"/>
        <v>7.8795584017839981E-2</v>
      </c>
      <c r="AI16" s="360">
        <f t="shared" si="18"/>
        <v>1.5521860151781201E-5</v>
      </c>
      <c r="AJ16" s="360">
        <f t="shared" si="19"/>
        <v>1.3719999999999998E-2</v>
      </c>
      <c r="AK16" s="360">
        <f t="shared" si="20"/>
        <v>1.3735554266757349E-2</v>
      </c>
      <c r="AL16" s="360">
        <f t="shared" si="21"/>
        <v>1.3719999999999998E-2</v>
      </c>
      <c r="AM16" s="360">
        <f t="shared" si="22"/>
        <v>0.1764</v>
      </c>
      <c r="AN16" s="360">
        <f t="shared" si="23"/>
        <v>5.2337064447635943E-4</v>
      </c>
      <c r="AO16" s="360">
        <f t="shared" si="24"/>
        <v>7.3499999999999998E-4</v>
      </c>
      <c r="AP16" s="360">
        <f t="shared" si="25"/>
        <v>0.32999999999999996</v>
      </c>
      <c r="AQ16" s="360">
        <f t="shared" si="26"/>
        <v>1.2539999999999998</v>
      </c>
      <c r="AR16" s="360">
        <f t="shared" si="27"/>
        <v>1.0559999999999998</v>
      </c>
      <c r="AS16" s="360">
        <f t="shared" si="28"/>
        <v>0.33073499999999995</v>
      </c>
      <c r="AT16" s="360">
        <f t="shared" si="29"/>
        <v>1.4668865086621292</v>
      </c>
      <c r="AU16">
        <f t="shared" si="30"/>
        <v>7</v>
      </c>
      <c r="AV16" s="542">
        <f t="shared" si="47"/>
        <v>0.82675018648691967</v>
      </c>
      <c r="AW16" s="551">
        <f t="shared" si="31"/>
        <v>37.381901516083992</v>
      </c>
      <c r="AX16" s="551">
        <f t="shared" si="32"/>
        <v>2.7340070621367794</v>
      </c>
      <c r="AY16" s="9"/>
      <c r="AZ16" s="4">
        <f t="shared" si="48"/>
        <v>82.67501864869196</v>
      </c>
      <c r="BA16" s="360">
        <f t="shared" si="33"/>
        <v>0.30053595398015021</v>
      </c>
      <c r="BB16" s="360">
        <f t="shared" si="34"/>
        <v>0.82134958458843721</v>
      </c>
      <c r="BC16" s="360">
        <f t="shared" si="35"/>
        <v>0.74763803032167986</v>
      </c>
      <c r="BD16" s="360">
        <f t="shared" si="36"/>
        <v>7.1947554266757349E-2</v>
      </c>
      <c r="BE16" s="360">
        <f t="shared" si="37"/>
        <v>5.2337064447635943E-4</v>
      </c>
      <c r="BJ16" s="18"/>
      <c r="BK16" s="18"/>
      <c r="BL16" s="18"/>
      <c r="BM16" s="19"/>
    </row>
    <row r="17" spans="1:65" x14ac:dyDescent="0.2">
      <c r="A17" s="24" t="s">
        <v>58</v>
      </c>
      <c r="B17" s="16" t="s">
        <v>111</v>
      </c>
      <c r="C17" s="24" t="s">
        <v>76</v>
      </c>
      <c r="D17" s="17" t="s">
        <v>107</v>
      </c>
      <c r="G17">
        <v>8</v>
      </c>
      <c r="H17" s="548">
        <f t="shared" si="0"/>
        <v>21</v>
      </c>
      <c r="I17" s="4">
        <f t="shared" si="1"/>
        <v>1</v>
      </c>
      <c r="J17" s="360">
        <f t="shared" si="38"/>
        <v>0.4</v>
      </c>
      <c r="K17" s="360">
        <f t="shared" si="2"/>
        <v>0.4</v>
      </c>
      <c r="L17" s="4">
        <f t="shared" si="3"/>
        <v>0.42328042328042326</v>
      </c>
      <c r="M17" s="360">
        <f t="shared" si="4"/>
        <v>0.95257188026780704</v>
      </c>
      <c r="N17" s="4">
        <f t="shared" si="5"/>
        <v>0.3162538642489115</v>
      </c>
      <c r="O17" s="4">
        <f t="shared" si="39"/>
        <v>0.55812693212445574</v>
      </c>
      <c r="P17" s="4">
        <f t="shared" si="40"/>
        <v>0.24187306787554427</v>
      </c>
      <c r="Q17" s="4">
        <f t="shared" si="6"/>
        <v>0</v>
      </c>
      <c r="R17" s="4">
        <f t="shared" si="41"/>
        <v>0.41028613050857254</v>
      </c>
      <c r="S17" s="360">
        <f t="shared" si="7"/>
        <v>6.7333883555078969E-4</v>
      </c>
      <c r="T17" s="360">
        <f t="shared" si="8"/>
        <v>0.3</v>
      </c>
      <c r="U17" s="360">
        <f t="shared" si="9"/>
        <v>0.30068953611091931</v>
      </c>
      <c r="V17" s="4">
        <f t="shared" si="42"/>
        <v>9.1294626828184219E-2</v>
      </c>
      <c r="W17" s="360">
        <f t="shared" si="10"/>
        <v>1.6669417775394827E-5</v>
      </c>
      <c r="X17" s="360">
        <f t="shared" si="43"/>
        <v>1.6669417775394827E-5</v>
      </c>
      <c r="Y17" s="4">
        <f t="shared" si="44"/>
        <v>8.7207466229734645E-2</v>
      </c>
      <c r="Z17" s="360">
        <f t="shared" si="11"/>
        <v>7.6051421662103082E-6</v>
      </c>
      <c r="AA17" s="541">
        <f t="shared" si="45"/>
        <v>7.6051421662103082E-6</v>
      </c>
      <c r="AB17" s="360">
        <f t="shared" si="46"/>
        <v>0.40043839745894483</v>
      </c>
      <c r="AC17" s="360">
        <f t="shared" si="12"/>
        <v>9.6210546095692735E-4</v>
      </c>
      <c r="AD17" s="360">
        <f t="shared" si="13"/>
        <v>2.9872939436352459E-2</v>
      </c>
      <c r="AE17" s="360">
        <f t="shared" si="14"/>
        <v>0.6042329999999998</v>
      </c>
      <c r="AF17" s="360">
        <f t="shared" si="15"/>
        <v>0</v>
      </c>
      <c r="AG17" s="360">
        <f t="shared" si="16"/>
        <v>0.63519026890260077</v>
      </c>
      <c r="AH17" s="360">
        <f t="shared" si="17"/>
        <v>8.9352105337308974E-2</v>
      </c>
      <c r="AI17" s="360">
        <f t="shared" si="18"/>
        <v>1.9959496820523899E-5</v>
      </c>
      <c r="AJ17" s="360">
        <f t="shared" si="19"/>
        <v>1.5679999999999999E-2</v>
      </c>
      <c r="AK17" s="360">
        <f t="shared" si="20"/>
        <v>1.570000712818536E-2</v>
      </c>
      <c r="AL17" s="360">
        <f t="shared" si="21"/>
        <v>1.5679999999999999E-2</v>
      </c>
      <c r="AM17" s="360">
        <f t="shared" si="22"/>
        <v>0.20159999999999997</v>
      </c>
      <c r="AN17" s="360">
        <f t="shared" si="23"/>
        <v>6.7333883555078969E-4</v>
      </c>
      <c r="AO17" s="360">
        <f t="shared" si="24"/>
        <v>7.3499999999999998E-4</v>
      </c>
      <c r="AP17" s="360">
        <f t="shared" si="25"/>
        <v>0.32999999999999996</v>
      </c>
      <c r="AQ17" s="360">
        <f t="shared" si="26"/>
        <v>1.2539999999999998</v>
      </c>
      <c r="AR17" s="360">
        <f t="shared" si="27"/>
        <v>1.0559999999999998</v>
      </c>
      <c r="AS17" s="360">
        <f t="shared" si="28"/>
        <v>0.33073499999999995</v>
      </c>
      <c r="AT17" s="360">
        <f t="shared" si="29"/>
        <v>1.5002924255371979</v>
      </c>
      <c r="AU17">
        <f t="shared" si="30"/>
        <v>8</v>
      </c>
      <c r="AV17" s="542">
        <f t="shared" si="47"/>
        <v>0.84207934257851402</v>
      </c>
      <c r="AW17" s="551">
        <f t="shared" si="31"/>
        <v>38.412313445130039</v>
      </c>
      <c r="AX17" s="551">
        <f t="shared" si="32"/>
        <v>3.124664270871043</v>
      </c>
      <c r="AY17" s="9"/>
      <c r="AZ17" s="4">
        <f t="shared" si="48"/>
        <v>84.207934257851406</v>
      </c>
      <c r="BA17" s="360">
        <f t="shared" si="33"/>
        <v>0.30068953611091931</v>
      </c>
      <c r="BB17" s="360">
        <f t="shared" si="34"/>
        <v>0.85249027603078609</v>
      </c>
      <c r="BC17" s="360">
        <f t="shared" si="35"/>
        <v>0.76824626890260073</v>
      </c>
      <c r="BD17" s="360">
        <f t="shared" si="36"/>
        <v>8.2228007128185343E-2</v>
      </c>
      <c r="BE17" s="360">
        <f t="shared" si="37"/>
        <v>6.7333883555078969E-4</v>
      </c>
      <c r="BJ17" s="18"/>
      <c r="BK17" s="18"/>
      <c r="BL17" s="18"/>
      <c r="BM17" s="19"/>
    </row>
    <row r="18" spans="1:65" x14ac:dyDescent="0.2">
      <c r="A18" s="35" t="s">
        <v>56</v>
      </c>
      <c r="B18" s="38">
        <f>Lf*1000000</f>
        <v>1.5</v>
      </c>
      <c r="C18" s="441" t="s">
        <v>10</v>
      </c>
      <c r="D18" s="440" t="s">
        <v>468</v>
      </c>
      <c r="G18">
        <v>9</v>
      </c>
      <c r="H18" s="548">
        <f t="shared" si="0"/>
        <v>21</v>
      </c>
      <c r="I18" s="4">
        <f t="shared" si="1"/>
        <v>1</v>
      </c>
      <c r="J18" s="360">
        <f t="shared" si="38"/>
        <v>0.45</v>
      </c>
      <c r="K18" s="360">
        <f t="shared" si="2"/>
        <v>0.45</v>
      </c>
      <c r="L18" s="4">
        <f t="shared" si="3"/>
        <v>0.47619047619047616</v>
      </c>
      <c r="M18" s="360">
        <f t="shared" si="4"/>
        <v>0.9525957459979596</v>
      </c>
      <c r="N18" s="4">
        <f t="shared" si="5"/>
        <v>0.31610302171365617</v>
      </c>
      <c r="O18" s="4">
        <f t="shared" si="39"/>
        <v>0.60805151085682807</v>
      </c>
      <c r="P18" s="4">
        <f t="shared" si="40"/>
        <v>0.29194848914317195</v>
      </c>
      <c r="Q18" s="4">
        <f t="shared" si="6"/>
        <v>0</v>
      </c>
      <c r="R18" s="4">
        <f t="shared" si="41"/>
        <v>0.4591587525334152</v>
      </c>
      <c r="S18" s="360">
        <f t="shared" si="7"/>
        <v>8.433070401121681E-4</v>
      </c>
      <c r="T18" s="360">
        <f t="shared" si="8"/>
        <v>0.3</v>
      </c>
      <c r="U18" s="360">
        <f t="shared" si="9"/>
        <v>0.3008636046717868</v>
      </c>
      <c r="V18" s="4">
        <f t="shared" si="42"/>
        <v>9.1251082339016756E-2</v>
      </c>
      <c r="W18" s="360">
        <f t="shared" si="10"/>
        <v>1.6653520056084031E-5</v>
      </c>
      <c r="X18" s="360">
        <f t="shared" si="43"/>
        <v>1.6653520056084031E-5</v>
      </c>
      <c r="Y18" s="4">
        <f t="shared" si="44"/>
        <v>9.7572143184070634E-2</v>
      </c>
      <c r="Z18" s="360">
        <f t="shared" si="11"/>
        <v>9.5203231255327804E-6</v>
      </c>
      <c r="AA18" s="541">
        <f t="shared" si="45"/>
        <v>9.5203231255327804E-6</v>
      </c>
      <c r="AB18" s="360">
        <f t="shared" si="46"/>
        <v>0.44814358719638675</v>
      </c>
      <c r="AC18" s="360">
        <f t="shared" si="12"/>
        <v>1.204996048471473E-3</v>
      </c>
      <c r="AD18" s="360">
        <f t="shared" si="13"/>
        <v>3.3607056865896524E-2</v>
      </c>
      <c r="AE18" s="360">
        <f t="shared" si="14"/>
        <v>0.6042329999999998</v>
      </c>
      <c r="AF18" s="360">
        <f t="shared" si="15"/>
        <v>0</v>
      </c>
      <c r="AG18" s="360">
        <f t="shared" si="16"/>
        <v>0.63919909939215858</v>
      </c>
      <c r="AH18" s="360">
        <f t="shared" si="17"/>
        <v>9.9970422039703938E-2</v>
      </c>
      <c r="AI18" s="360">
        <f t="shared" si="18"/>
        <v>2.4985213206991306E-5</v>
      </c>
      <c r="AJ18" s="360">
        <f t="shared" si="19"/>
        <v>1.7639999999999999E-2</v>
      </c>
      <c r="AK18" s="360">
        <f t="shared" si="20"/>
        <v>1.7665052300701894E-2</v>
      </c>
      <c r="AL18" s="360">
        <f t="shared" si="21"/>
        <v>1.7639999999999999E-2</v>
      </c>
      <c r="AM18" s="360">
        <f t="shared" si="22"/>
        <v>0.22679999999999997</v>
      </c>
      <c r="AN18" s="360">
        <f t="shared" si="23"/>
        <v>8.433070401121681E-4</v>
      </c>
      <c r="AO18" s="360">
        <f t="shared" si="24"/>
        <v>7.3499999999999998E-4</v>
      </c>
      <c r="AP18" s="360">
        <f t="shared" si="25"/>
        <v>0.32999999999999996</v>
      </c>
      <c r="AQ18" s="360">
        <f t="shared" si="26"/>
        <v>1.2539999999999998</v>
      </c>
      <c r="AR18" s="360">
        <f t="shared" si="27"/>
        <v>1.0559999999999998</v>
      </c>
      <c r="AS18" s="360">
        <f t="shared" si="28"/>
        <v>0.33073499999999995</v>
      </c>
      <c r="AT18" s="360">
        <f t="shared" si="29"/>
        <v>1.533772237247941</v>
      </c>
      <c r="AU18">
        <f t="shared" si="30"/>
        <v>9</v>
      </c>
      <c r="AV18" s="542">
        <f t="shared" si="47"/>
        <v>0.8543947787456001</v>
      </c>
      <c r="AW18" s="551">
        <f t="shared" si="31"/>
        <v>39.444354969607929</v>
      </c>
      <c r="AX18" s="551">
        <f t="shared" si="32"/>
        <v>3.5153439874266716</v>
      </c>
      <c r="AY18" s="9"/>
      <c r="AZ18" s="4">
        <f t="shared" si="48"/>
        <v>85.439477874560012</v>
      </c>
      <c r="BA18" s="360">
        <f t="shared" si="33"/>
        <v>0.3008636046717868</v>
      </c>
      <c r="BB18" s="360">
        <f t="shared" si="34"/>
        <v>0.8836641516928605</v>
      </c>
      <c r="BC18" s="360">
        <f t="shared" si="35"/>
        <v>0.78888709939215862</v>
      </c>
      <c r="BD18" s="360">
        <f t="shared" si="36"/>
        <v>9.2509052300701888E-2</v>
      </c>
      <c r="BE18" s="360">
        <f t="shared" si="37"/>
        <v>8.433070401121681E-4</v>
      </c>
      <c r="BK18" s="18"/>
      <c r="BL18" s="19"/>
    </row>
    <row r="19" spans="1:65" x14ac:dyDescent="0.2">
      <c r="A19" s="35" t="s">
        <v>11</v>
      </c>
      <c r="B19" s="39">
        <f>Rdcr*1000</f>
        <v>4</v>
      </c>
      <c r="C19" s="442" t="s">
        <v>466</v>
      </c>
      <c r="D19" s="440" t="s">
        <v>469</v>
      </c>
      <c r="G19">
        <v>10</v>
      </c>
      <c r="H19" s="548">
        <f t="shared" si="0"/>
        <v>21</v>
      </c>
      <c r="I19" s="4">
        <f t="shared" si="1"/>
        <v>1</v>
      </c>
      <c r="J19" s="360">
        <f t="shared" si="38"/>
        <v>0.5</v>
      </c>
      <c r="K19" s="360">
        <f t="shared" si="2"/>
        <v>0.5</v>
      </c>
      <c r="L19" s="4">
        <f t="shared" si="3"/>
        <v>0.52910052910052907</v>
      </c>
      <c r="M19" s="360">
        <f t="shared" si="4"/>
        <v>0.95261961167128961</v>
      </c>
      <c r="N19" s="4">
        <f t="shared" si="5"/>
        <v>0.31595217120431135</v>
      </c>
      <c r="O19" s="4">
        <f t="shared" si="39"/>
        <v>0.6579760856021557</v>
      </c>
      <c r="P19" s="4">
        <f t="shared" si="40"/>
        <v>0.3420239143978443</v>
      </c>
      <c r="Q19" s="4">
        <f t="shared" si="6"/>
        <v>0</v>
      </c>
      <c r="R19" s="4">
        <f t="shared" si="41"/>
        <v>0.50825073983293578</v>
      </c>
      <c r="S19" s="360">
        <f t="shared" si="7"/>
        <v>1.0332752581629064E-3</v>
      </c>
      <c r="T19" s="360">
        <f t="shared" si="8"/>
        <v>0.3</v>
      </c>
      <c r="U19" s="360">
        <f t="shared" si="9"/>
        <v>0.30105816133411284</v>
      </c>
      <c r="V19" s="4">
        <f t="shared" si="42"/>
        <v>9.1207535547927945E-2</v>
      </c>
      <c r="W19" s="360">
        <f t="shared" si="10"/>
        <v>1.6637629081453078E-5</v>
      </c>
      <c r="X19" s="360">
        <f t="shared" si="43"/>
        <v>1.6637629081453078E-5</v>
      </c>
      <c r="Y19" s="4">
        <f t="shared" si="44"/>
        <v>0.10797844937429406</v>
      </c>
      <c r="Z19" s="360">
        <f t="shared" si="11"/>
        <v>1.1659345529276985E-5</v>
      </c>
      <c r="AA19" s="541">
        <f t="shared" si="45"/>
        <v>1.1659345529276985E-5</v>
      </c>
      <c r="AB19" s="360">
        <f t="shared" si="46"/>
        <v>0.49606407730773538</v>
      </c>
      <c r="AC19" s="360">
        <f t="shared" si="12"/>
        <v>1.4764774127710492E-3</v>
      </c>
      <c r="AD19" s="360">
        <f t="shared" si="13"/>
        <v>3.7341174295440573E-2</v>
      </c>
      <c r="AE19" s="360">
        <f t="shared" si="14"/>
        <v>0.6042329999999998</v>
      </c>
      <c r="AF19" s="360">
        <f t="shared" si="15"/>
        <v>0</v>
      </c>
      <c r="AG19" s="360">
        <f t="shared" si="16"/>
        <v>0.64324059775092279</v>
      </c>
      <c r="AH19" s="360">
        <f t="shared" si="17"/>
        <v>0.11063112466910813</v>
      </c>
      <c r="AI19" s="360">
        <f t="shared" si="18"/>
        <v>3.0598114363879363E-5</v>
      </c>
      <c r="AJ19" s="360">
        <f t="shared" si="19"/>
        <v>1.9599999999999999E-2</v>
      </c>
      <c r="AK19" s="360">
        <f t="shared" si="20"/>
        <v>1.9630689415000003E-2</v>
      </c>
      <c r="AL19" s="360">
        <f t="shared" si="21"/>
        <v>1.9599999999999999E-2</v>
      </c>
      <c r="AM19" s="360">
        <f t="shared" si="22"/>
        <v>0.25199999999999995</v>
      </c>
      <c r="AN19" s="360">
        <f t="shared" si="23"/>
        <v>1.0332752581629064E-3</v>
      </c>
      <c r="AO19" s="360">
        <f t="shared" si="24"/>
        <v>7.3499999999999998E-4</v>
      </c>
      <c r="AP19" s="360">
        <f t="shared" si="25"/>
        <v>0.32999999999999996</v>
      </c>
      <c r="AQ19" s="360">
        <f t="shared" si="26"/>
        <v>1.2539999999999998</v>
      </c>
      <c r="AR19" s="360">
        <f t="shared" si="27"/>
        <v>1.0559999999999998</v>
      </c>
      <c r="AS19" s="360">
        <f t="shared" si="28"/>
        <v>0.33073499999999995</v>
      </c>
      <c r="AT19" s="360">
        <f t="shared" si="29"/>
        <v>1.5673260207328092</v>
      </c>
      <c r="AU19">
        <f t="shared" si="30"/>
        <v>10</v>
      </c>
      <c r="AV19" s="542">
        <f t="shared" si="47"/>
        <v>0.86450403335017989</v>
      </c>
      <c r="AW19" s="551">
        <f t="shared" si="31"/>
        <v>40.478029887546143</v>
      </c>
      <c r="AX19" s="551">
        <f t="shared" si="32"/>
        <v>3.9060461977699994</v>
      </c>
      <c r="AY19" s="9"/>
      <c r="AZ19" s="4">
        <f t="shared" si="48"/>
        <v>86.450403335017995</v>
      </c>
      <c r="BA19" s="360">
        <f t="shared" si="33"/>
        <v>0.30105816133411284</v>
      </c>
      <c r="BB19" s="360">
        <f t="shared" si="34"/>
        <v>0.91487128716592281</v>
      </c>
      <c r="BC19" s="360">
        <f t="shared" si="35"/>
        <v>0.80956059775092282</v>
      </c>
      <c r="BD19" s="360">
        <f t="shared" si="36"/>
        <v>0.10279068941499998</v>
      </c>
      <c r="BE19" s="360">
        <f t="shared" si="37"/>
        <v>1.0332752581629064E-3</v>
      </c>
      <c r="BK19" s="18"/>
      <c r="BL19" s="19"/>
    </row>
    <row r="20" spans="1:65" x14ac:dyDescent="0.2">
      <c r="A20" s="35" t="s">
        <v>82</v>
      </c>
      <c r="B20" s="39">
        <f>Ltc*1000000</f>
        <v>4000</v>
      </c>
      <c r="C20" s="441" t="s">
        <v>81</v>
      </c>
      <c r="D20" s="21" t="s">
        <v>97</v>
      </c>
      <c r="G20">
        <v>11</v>
      </c>
      <c r="H20" s="548">
        <f t="shared" si="0"/>
        <v>21</v>
      </c>
      <c r="I20" s="4">
        <f t="shared" si="1"/>
        <v>1</v>
      </c>
      <c r="J20" s="360">
        <f t="shared" si="38"/>
        <v>0.55000000000000004</v>
      </c>
      <c r="K20" s="360">
        <f t="shared" si="2"/>
        <v>0.55000000000000004</v>
      </c>
      <c r="L20" s="4">
        <f t="shared" si="3"/>
        <v>0.58201058201058198</v>
      </c>
      <c r="M20" s="360">
        <f t="shared" si="4"/>
        <v>0.95264347728779752</v>
      </c>
      <c r="N20" s="4">
        <f t="shared" si="5"/>
        <v>0.31580131272090445</v>
      </c>
      <c r="O20" s="4">
        <f t="shared" si="39"/>
        <v>0.7079006563604523</v>
      </c>
      <c r="P20" s="4">
        <f t="shared" si="40"/>
        <v>0.39209934363954779</v>
      </c>
      <c r="Q20" s="4">
        <f t="shared" si="6"/>
        <v>0</v>
      </c>
      <c r="R20" s="4">
        <f t="shared" si="41"/>
        <v>0.55750414565844608</v>
      </c>
      <c r="S20" s="360">
        <f t="shared" si="7"/>
        <v>1.2432434897054155E-3</v>
      </c>
      <c r="T20" s="360">
        <f t="shared" si="8"/>
        <v>0.3</v>
      </c>
      <c r="U20" s="360">
        <f t="shared" si="9"/>
        <v>0.3012732079660595</v>
      </c>
      <c r="V20" s="4">
        <f t="shared" si="42"/>
        <v>9.1163986454925697E-2</v>
      </c>
      <c r="W20" s="360">
        <f t="shared" si="10"/>
        <v>1.6621744852707754E-5</v>
      </c>
      <c r="X20" s="360">
        <f t="shared" si="43"/>
        <v>1.6621744852707754E-5</v>
      </c>
      <c r="Y20" s="4">
        <f t="shared" si="44"/>
        <v>0.11841404126483979</v>
      </c>
      <c r="Z20" s="360">
        <f t="shared" si="11"/>
        <v>1.402188516867118E-5</v>
      </c>
      <c r="AA20" s="541">
        <f t="shared" si="45"/>
        <v>1.402188516867118E-5</v>
      </c>
      <c r="AB20" s="360">
        <f t="shared" si="46"/>
        <v>0.54414331778226932</v>
      </c>
      <c r="AC20" s="360">
        <f t="shared" si="12"/>
        <v>1.7765517017225745E-3</v>
      </c>
      <c r="AD20" s="360">
        <f t="shared" si="13"/>
        <v>4.1075291724984628E-2</v>
      </c>
      <c r="AE20" s="360">
        <f t="shared" si="14"/>
        <v>0.6042329999999998</v>
      </c>
      <c r="AF20" s="360">
        <f t="shared" si="15"/>
        <v>0</v>
      </c>
      <c r="AG20" s="360">
        <f t="shared" si="16"/>
        <v>0.64731484108320225</v>
      </c>
      <c r="AH20" s="360">
        <f t="shared" si="17"/>
        <v>0.1213215650214672</v>
      </c>
      <c r="AI20" s="360">
        <f t="shared" si="18"/>
        <v>3.6797305348145233E-5</v>
      </c>
      <c r="AJ20" s="360">
        <f t="shared" si="19"/>
        <v>2.1560000000000003E-2</v>
      </c>
      <c r="AK20" s="360">
        <f t="shared" si="20"/>
        <v>2.1596918101023418E-2</v>
      </c>
      <c r="AL20" s="360">
        <f t="shared" si="21"/>
        <v>2.1560000000000003E-2</v>
      </c>
      <c r="AM20" s="360">
        <f t="shared" si="22"/>
        <v>0.2772</v>
      </c>
      <c r="AN20" s="360">
        <f t="shared" si="23"/>
        <v>1.2432434897054155E-3</v>
      </c>
      <c r="AO20" s="360">
        <f t="shared" si="24"/>
        <v>7.3499999999999998E-4</v>
      </c>
      <c r="AP20" s="360">
        <f t="shared" si="25"/>
        <v>0.32999999999999996</v>
      </c>
      <c r="AQ20" s="360">
        <f t="shared" si="26"/>
        <v>1.2539999999999998</v>
      </c>
      <c r="AR20" s="360">
        <f t="shared" si="27"/>
        <v>1.0559999999999998</v>
      </c>
      <c r="AS20" s="360">
        <f t="shared" si="28"/>
        <v>0.33073499999999995</v>
      </c>
      <c r="AT20" s="360">
        <f t="shared" si="29"/>
        <v>1.6009538542700119</v>
      </c>
      <c r="AU20">
        <f t="shared" si="30"/>
        <v>11</v>
      </c>
      <c r="AV20" s="542">
        <f t="shared" si="47"/>
        <v>0.87294978834260983</v>
      </c>
      <c r="AW20" s="551">
        <f t="shared" si="31"/>
        <v>41.513342054160113</v>
      </c>
      <c r="AX20" s="551">
        <f t="shared" si="32"/>
        <v>4.2967708878388899</v>
      </c>
      <c r="AY20" s="9"/>
      <c r="AZ20" s="4">
        <f t="shared" si="48"/>
        <v>87.294978834260988</v>
      </c>
      <c r="BA20" s="360">
        <f t="shared" si="33"/>
        <v>0.3012732079660595</v>
      </c>
      <c r="BB20" s="360">
        <f t="shared" si="34"/>
        <v>0.94611175918422563</v>
      </c>
      <c r="BC20" s="360">
        <f t="shared" si="35"/>
        <v>0.83026684108320226</v>
      </c>
      <c r="BD20" s="360">
        <f t="shared" si="36"/>
        <v>0.11307291810102342</v>
      </c>
      <c r="BE20" s="360">
        <f t="shared" si="37"/>
        <v>1.2432434897054155E-3</v>
      </c>
      <c r="BK20" s="18"/>
      <c r="BL20" s="19"/>
    </row>
    <row r="21" spans="1:65" x14ac:dyDescent="0.2">
      <c r="A21" s="25" t="s">
        <v>129</v>
      </c>
      <c r="B21" s="39">
        <f>ThetaCa</f>
        <v>20</v>
      </c>
      <c r="C21" s="441" t="s">
        <v>205</v>
      </c>
      <c r="D21" s="26" t="s">
        <v>130</v>
      </c>
      <c r="G21">
        <v>12</v>
      </c>
      <c r="H21" s="548">
        <f t="shared" si="0"/>
        <v>21</v>
      </c>
      <c r="I21" s="4">
        <f t="shared" si="1"/>
        <v>1</v>
      </c>
      <c r="J21" s="360">
        <f t="shared" si="38"/>
        <v>0.6</v>
      </c>
      <c r="K21" s="360">
        <f t="shared" si="2"/>
        <v>0.6</v>
      </c>
      <c r="L21" s="4">
        <f t="shared" si="3"/>
        <v>0.63492063492063489</v>
      </c>
      <c r="M21" s="360">
        <f t="shared" si="4"/>
        <v>0.95266734284748311</v>
      </c>
      <c r="N21" s="4">
        <f t="shared" si="5"/>
        <v>0.315650446263466</v>
      </c>
      <c r="O21" s="4">
        <f t="shared" si="39"/>
        <v>0.75782522313173295</v>
      </c>
      <c r="P21" s="4">
        <f t="shared" si="40"/>
        <v>0.44217477686826701</v>
      </c>
      <c r="Q21" s="4">
        <f t="shared" si="6"/>
        <v>0</v>
      </c>
      <c r="R21" s="4">
        <f t="shared" si="41"/>
        <v>0.60687966985682351</v>
      </c>
      <c r="S21" s="360">
        <f t="shared" si="7"/>
        <v>1.4732117347421084E-3</v>
      </c>
      <c r="T21" s="360">
        <f t="shared" si="8"/>
        <v>0.3</v>
      </c>
      <c r="U21" s="360">
        <f t="shared" si="9"/>
        <v>0.30150874663263544</v>
      </c>
      <c r="V21" s="4">
        <f t="shared" si="42"/>
        <v>9.1120435060018809E-2</v>
      </c>
      <c r="W21" s="360">
        <f t="shared" si="10"/>
        <v>1.6605867371054214E-5</v>
      </c>
      <c r="X21" s="360">
        <f t="shared" si="43"/>
        <v>1.6605867371054214E-5</v>
      </c>
      <c r="Y21" s="4">
        <f t="shared" si="44"/>
        <v>0.12887054668276343</v>
      </c>
      <c r="Z21" s="360">
        <f t="shared" si="11"/>
        <v>1.660761780231431E-5</v>
      </c>
      <c r="AA21" s="541">
        <f t="shared" si="45"/>
        <v>1.660761780231431E-5</v>
      </c>
      <c r="AB21" s="360">
        <f t="shared" si="46"/>
        <v>0.59234295572507978</v>
      </c>
      <c r="AC21" s="360">
        <f t="shared" si="12"/>
        <v>2.1052210631827429E-3</v>
      </c>
      <c r="AD21" s="360">
        <f t="shared" si="13"/>
        <v>4.480940915452869E-2</v>
      </c>
      <c r="AE21" s="360">
        <f t="shared" si="14"/>
        <v>0.6042329999999998</v>
      </c>
      <c r="AF21" s="360">
        <f t="shared" si="15"/>
        <v>0</v>
      </c>
      <c r="AG21" s="360">
        <f t="shared" si="16"/>
        <v>0.65142190764190855</v>
      </c>
      <c r="AH21" s="360">
        <f t="shared" si="17"/>
        <v>0.13203316435048892</v>
      </c>
      <c r="AI21" s="360">
        <f t="shared" si="18"/>
        <v>4.3581891221008046E-5</v>
      </c>
      <c r="AJ21" s="360">
        <f t="shared" si="19"/>
        <v>2.3519999999999999E-2</v>
      </c>
      <c r="AK21" s="360">
        <f t="shared" si="20"/>
        <v>2.3563737987965402E-2</v>
      </c>
      <c r="AL21" s="360">
        <f t="shared" si="21"/>
        <v>2.3519999999999999E-2</v>
      </c>
      <c r="AM21" s="360">
        <f t="shared" si="22"/>
        <v>0.3024</v>
      </c>
      <c r="AN21" s="360">
        <f t="shared" si="23"/>
        <v>1.4732117347421084E-3</v>
      </c>
      <c r="AO21" s="360">
        <f t="shared" si="24"/>
        <v>7.3499999999999998E-4</v>
      </c>
      <c r="AP21" s="360">
        <f t="shared" si="25"/>
        <v>0.32999999999999996</v>
      </c>
      <c r="AQ21" s="360">
        <f t="shared" si="26"/>
        <v>1.2539999999999998</v>
      </c>
      <c r="AR21" s="360">
        <f t="shared" si="27"/>
        <v>1.0559999999999998</v>
      </c>
      <c r="AS21" s="360">
        <f t="shared" si="28"/>
        <v>0.33073499999999995</v>
      </c>
      <c r="AT21" s="360">
        <f t="shared" si="29"/>
        <v>1.6346558174824248</v>
      </c>
      <c r="AU21">
        <f t="shared" si="30"/>
        <v>12</v>
      </c>
      <c r="AV21" s="542">
        <f t="shared" si="47"/>
        <v>0.88011022504972503</v>
      </c>
      <c r="AW21" s="551">
        <f t="shared" si="31"/>
        <v>42.550295382095427</v>
      </c>
      <c r="AX21" s="551">
        <f t="shared" si="32"/>
        <v>4.6875180435426858</v>
      </c>
      <c r="AY21" s="9"/>
      <c r="AZ21" s="4">
        <f t="shared" si="48"/>
        <v>88.011022504972502</v>
      </c>
      <c r="BA21" s="360">
        <f t="shared" si="33"/>
        <v>0.30150874663263544</v>
      </c>
      <c r="BB21" s="360">
        <f t="shared" si="34"/>
        <v>0.97738564562987396</v>
      </c>
      <c r="BC21" s="360">
        <f t="shared" si="35"/>
        <v>0.85100590764190853</v>
      </c>
      <c r="BD21" s="360">
        <f t="shared" si="36"/>
        <v>0.12335573798796541</v>
      </c>
      <c r="BE21" s="360">
        <f t="shared" si="37"/>
        <v>1.4732117347421084E-3</v>
      </c>
      <c r="BK21" s="18"/>
      <c r="BL21" s="19"/>
    </row>
    <row r="22" spans="1:65" x14ac:dyDescent="0.2">
      <c r="A22" s="36" t="s">
        <v>57</v>
      </c>
      <c r="B22" s="39">
        <f>Cin*1000000</f>
        <v>50</v>
      </c>
      <c r="C22" s="443" t="s">
        <v>467</v>
      </c>
      <c r="D22" s="440" t="s">
        <v>484</v>
      </c>
      <c r="G22">
        <v>13</v>
      </c>
      <c r="H22" s="548">
        <f t="shared" si="0"/>
        <v>21</v>
      </c>
      <c r="I22" s="4">
        <f t="shared" si="1"/>
        <v>1</v>
      </c>
      <c r="J22" s="360">
        <f t="shared" si="38"/>
        <v>0.65</v>
      </c>
      <c r="K22" s="360">
        <f t="shared" si="2"/>
        <v>0.65</v>
      </c>
      <c r="L22" s="4">
        <f t="shared" si="3"/>
        <v>0.68783068783068779</v>
      </c>
      <c r="M22" s="360">
        <f t="shared" si="4"/>
        <v>0.95269120835034693</v>
      </c>
      <c r="N22" s="4">
        <f t="shared" si="5"/>
        <v>0.31549957183202354</v>
      </c>
      <c r="O22" s="4">
        <f t="shared" si="39"/>
        <v>0.80774978591601176</v>
      </c>
      <c r="P22" s="4">
        <f t="shared" si="40"/>
        <v>0.49225021408398828</v>
      </c>
      <c r="Q22" s="4">
        <f t="shared" si="6"/>
        <v>0</v>
      </c>
      <c r="R22" s="4">
        <f t="shared" si="41"/>
        <v>0.6563497530424226</v>
      </c>
      <c r="S22" s="360">
        <f t="shared" si="7"/>
        <v>1.7231799932753966E-3</v>
      </c>
      <c r="T22" s="360">
        <f t="shared" si="8"/>
        <v>0.3</v>
      </c>
      <c r="U22" s="360">
        <f t="shared" si="9"/>
        <v>0.30176477959574532</v>
      </c>
      <c r="V22" s="4">
        <f t="shared" si="42"/>
        <v>9.1076881363215234E-2</v>
      </c>
      <c r="W22" s="360">
        <f t="shared" si="10"/>
        <v>1.6589996637698364E-5</v>
      </c>
      <c r="X22" s="360">
        <f t="shared" si="43"/>
        <v>1.6589996637698364E-5</v>
      </c>
      <c r="Y22" s="4">
        <f t="shared" si="44"/>
        <v>0.13934209398518466</v>
      </c>
      <c r="Z22" s="360">
        <f t="shared" si="11"/>
        <v>1.9416219156176034E-5</v>
      </c>
      <c r="AA22" s="541">
        <f t="shared" si="45"/>
        <v>1.9416219156176034E-5</v>
      </c>
      <c r="AB22" s="360">
        <f t="shared" si="46"/>
        <v>0.64063609600120885</v>
      </c>
      <c r="AC22" s="360">
        <f t="shared" si="12"/>
        <v>2.4624876449980205E-3</v>
      </c>
      <c r="AD22" s="360">
        <f t="shared" si="13"/>
        <v>4.8543526584072745E-2</v>
      </c>
      <c r="AE22" s="360">
        <f t="shared" si="14"/>
        <v>0.6042329999999998</v>
      </c>
      <c r="AF22" s="360">
        <f t="shared" si="15"/>
        <v>0</v>
      </c>
      <c r="AG22" s="360">
        <f t="shared" si="16"/>
        <v>0.65556187683351741</v>
      </c>
      <c r="AH22" s="360">
        <f t="shared" si="17"/>
        <v>0.14275990620331422</v>
      </c>
      <c r="AI22" s="360">
        <f t="shared" si="18"/>
        <v>5.0950977047947687E-5</v>
      </c>
      <c r="AJ22" s="360">
        <f t="shared" si="19"/>
        <v>2.5479999999999999E-2</v>
      </c>
      <c r="AK22" s="360">
        <f t="shared" si="20"/>
        <v>2.5531148704267634E-2</v>
      </c>
      <c r="AL22" s="360">
        <f t="shared" si="21"/>
        <v>2.5479999999999999E-2</v>
      </c>
      <c r="AM22" s="360">
        <f t="shared" si="22"/>
        <v>0.3276</v>
      </c>
      <c r="AN22" s="360">
        <f t="shared" si="23"/>
        <v>1.7231799932753966E-3</v>
      </c>
      <c r="AO22" s="360">
        <f t="shared" si="24"/>
        <v>7.3499999999999998E-4</v>
      </c>
      <c r="AP22" s="360">
        <f t="shared" si="25"/>
        <v>0.32999999999999996</v>
      </c>
      <c r="AQ22" s="360">
        <f t="shared" si="26"/>
        <v>1.2539999999999998</v>
      </c>
      <c r="AR22" s="360">
        <f t="shared" si="27"/>
        <v>1.0559999999999998</v>
      </c>
      <c r="AS22" s="360">
        <f t="shared" si="28"/>
        <v>0.33073499999999995</v>
      </c>
      <c r="AT22" s="360">
        <f t="shared" si="29"/>
        <v>1.6684319913425996</v>
      </c>
      <c r="AU22">
        <f t="shared" si="30"/>
        <v>13</v>
      </c>
      <c r="AV22" s="542">
        <f t="shared" si="47"/>
        <v>0.88625696377586105</v>
      </c>
      <c r="AW22" s="551">
        <f t="shared" si="31"/>
        <v>43.588893841675869</v>
      </c>
      <c r="AX22" s="551">
        <f t="shared" si="32"/>
        <v>5.0782876507621699</v>
      </c>
      <c r="AY22" s="9"/>
      <c r="AZ22" s="4">
        <f t="shared" si="48"/>
        <v>88.62569637758611</v>
      </c>
      <c r="BA22" s="360">
        <f t="shared" si="33"/>
        <v>0.30176477959574532</v>
      </c>
      <c r="BB22" s="360">
        <f t="shared" si="34"/>
        <v>1.0086930255377851</v>
      </c>
      <c r="BC22" s="360">
        <f t="shared" si="35"/>
        <v>0.87177787683351737</v>
      </c>
      <c r="BD22" s="360">
        <f t="shared" si="36"/>
        <v>0.13363914870426763</v>
      </c>
      <c r="BE22" s="360">
        <f t="shared" si="37"/>
        <v>1.7231799932753966E-3</v>
      </c>
      <c r="BK22" s="18"/>
      <c r="BL22" s="19"/>
    </row>
    <row r="23" spans="1:65" x14ac:dyDescent="0.2">
      <c r="A23" s="36" t="s">
        <v>86</v>
      </c>
      <c r="B23" s="39">
        <f>RCinEsr*1000</f>
        <v>1</v>
      </c>
      <c r="C23" s="442" t="s">
        <v>466</v>
      </c>
      <c r="D23" s="440" t="s">
        <v>480</v>
      </c>
      <c r="G23">
        <v>14</v>
      </c>
      <c r="H23" s="548">
        <f t="shared" si="0"/>
        <v>21</v>
      </c>
      <c r="I23" s="4">
        <f t="shared" si="1"/>
        <v>1</v>
      </c>
      <c r="J23" s="360">
        <f t="shared" si="38"/>
        <v>0.7</v>
      </c>
      <c r="K23" s="360">
        <f t="shared" si="2"/>
        <v>0.7</v>
      </c>
      <c r="L23" s="4">
        <f t="shared" si="3"/>
        <v>0.7407407407407407</v>
      </c>
      <c r="M23" s="360">
        <f t="shared" si="4"/>
        <v>0.95271507379638898</v>
      </c>
      <c r="N23" s="4">
        <f t="shared" si="5"/>
        <v>0.31534868942660427</v>
      </c>
      <c r="O23" s="4">
        <f t="shared" si="39"/>
        <v>0.85767434471330206</v>
      </c>
      <c r="P23" s="4">
        <f t="shared" si="40"/>
        <v>0.54232565528669785</v>
      </c>
      <c r="Q23" s="4">
        <f t="shared" si="6"/>
        <v>0</v>
      </c>
      <c r="R23" s="4">
        <f t="shared" si="41"/>
        <v>0.70589451501405154</v>
      </c>
      <c r="S23" s="360">
        <f t="shared" si="7"/>
        <v>1.9931482653076922E-3</v>
      </c>
      <c r="T23" s="360">
        <f t="shared" si="8"/>
        <v>0.3</v>
      </c>
      <c r="U23" s="360">
        <f t="shared" si="9"/>
        <v>0.3020413093142445</v>
      </c>
      <c r="V23" s="4">
        <f t="shared" si="42"/>
        <v>9.1033325364522841E-2</v>
      </c>
      <c r="W23" s="360">
        <f t="shared" si="10"/>
        <v>1.6574132653846157E-5</v>
      </c>
      <c r="X23" s="360">
        <f t="shared" si="43"/>
        <v>1.6574132653846157E-5</v>
      </c>
      <c r="Y23" s="4">
        <f t="shared" si="44"/>
        <v>0.14982444701582401</v>
      </c>
      <c r="Z23" s="360">
        <f t="shared" si="11"/>
        <v>2.2447364923597458E-5</v>
      </c>
      <c r="AA23" s="541">
        <f t="shared" si="45"/>
        <v>2.2447364923597458E-5</v>
      </c>
      <c r="AB23" s="360">
        <f t="shared" si="46"/>
        <v>0.68900333755899956</v>
      </c>
      <c r="AC23" s="360">
        <f t="shared" si="12"/>
        <v>2.8483535950046442E-3</v>
      </c>
      <c r="AD23" s="360">
        <f t="shared" si="13"/>
        <v>5.22776440136168E-2</v>
      </c>
      <c r="AE23" s="360">
        <f t="shared" si="14"/>
        <v>0.6042329999999998</v>
      </c>
      <c r="AF23" s="360">
        <f t="shared" si="15"/>
        <v>0</v>
      </c>
      <c r="AG23" s="360">
        <f t="shared" si="16"/>
        <v>0.65973482922313476</v>
      </c>
      <c r="AH23" s="360">
        <f t="shared" si="17"/>
        <v>0.15349745000970663</v>
      </c>
      <c r="AI23" s="360">
        <f t="shared" si="18"/>
        <v>5.8903667898705961E-5</v>
      </c>
      <c r="AJ23" s="360">
        <f t="shared" si="19"/>
        <v>2.7439999999999996E-2</v>
      </c>
      <c r="AK23" s="360">
        <f t="shared" si="20"/>
        <v>2.7499149877619072E-2</v>
      </c>
      <c r="AL23" s="360">
        <f t="shared" si="21"/>
        <v>2.7439999999999996E-2</v>
      </c>
      <c r="AM23" s="360">
        <f t="shared" si="22"/>
        <v>0.3528</v>
      </c>
      <c r="AN23" s="360">
        <f t="shared" si="23"/>
        <v>1.9931482653076922E-3</v>
      </c>
      <c r="AO23" s="360">
        <f t="shared" si="24"/>
        <v>7.3499999999999998E-4</v>
      </c>
      <c r="AP23" s="360">
        <f t="shared" si="25"/>
        <v>0.32999999999999996</v>
      </c>
      <c r="AQ23" s="360">
        <f t="shared" si="26"/>
        <v>1.2539999999999998</v>
      </c>
      <c r="AR23" s="360">
        <f t="shared" si="27"/>
        <v>1.0559999999999998</v>
      </c>
      <c r="AS23" s="360">
        <f t="shared" si="28"/>
        <v>0.33073499999999995</v>
      </c>
      <c r="AT23" s="360">
        <f t="shared" si="29"/>
        <v>1.7022824581778835</v>
      </c>
      <c r="AU23">
        <f t="shared" si="30"/>
        <v>14</v>
      </c>
      <c r="AV23" s="542">
        <f t="shared" si="47"/>
        <v>0.89159012629458079</v>
      </c>
      <c r="AW23" s="551">
        <f t="shared" si="31"/>
        <v>44.629141461156742</v>
      </c>
      <c r="AX23" s="551">
        <f t="shared" si="32"/>
        <v>5.4690796953495244</v>
      </c>
      <c r="AY23" s="9"/>
      <c r="AZ23" s="4">
        <f t="shared" si="48"/>
        <v>89.159012629458076</v>
      </c>
      <c r="BA23" s="360">
        <f t="shared" si="33"/>
        <v>0.3020413093142445</v>
      </c>
      <c r="BB23" s="360">
        <f t="shared" si="34"/>
        <v>1.0400339791007538</v>
      </c>
      <c r="BC23" s="360">
        <f t="shared" si="35"/>
        <v>0.89258282922313481</v>
      </c>
      <c r="BD23" s="360">
        <f t="shared" si="36"/>
        <v>0.14392314987761906</v>
      </c>
      <c r="BE23" s="360">
        <f t="shared" si="37"/>
        <v>1.9931482653076922E-3</v>
      </c>
      <c r="BK23" s="18"/>
      <c r="BL23" s="19"/>
    </row>
    <row r="24" spans="1:65" x14ac:dyDescent="0.2">
      <c r="A24" s="35" t="s">
        <v>25</v>
      </c>
      <c r="B24" s="39">
        <f>Cout*1000000</f>
        <v>150</v>
      </c>
      <c r="C24" s="441" t="s">
        <v>467</v>
      </c>
      <c r="D24" s="440" t="s">
        <v>483</v>
      </c>
      <c r="G24">
        <v>15</v>
      </c>
      <c r="H24" s="548">
        <f t="shared" si="0"/>
        <v>21</v>
      </c>
      <c r="I24" s="4">
        <f t="shared" si="1"/>
        <v>1</v>
      </c>
      <c r="J24" s="360">
        <f t="shared" si="38"/>
        <v>0.75</v>
      </c>
      <c r="K24" s="360">
        <f t="shared" si="2"/>
        <v>0.75</v>
      </c>
      <c r="L24" s="4">
        <f t="shared" si="3"/>
        <v>0.79365079365079361</v>
      </c>
      <c r="M24" s="360">
        <f t="shared" si="4"/>
        <v>0.95273893918560981</v>
      </c>
      <c r="N24" s="4">
        <f t="shared" si="5"/>
        <v>0.31519779904723916</v>
      </c>
      <c r="O24" s="4">
        <f t="shared" si="39"/>
        <v>0.90759889952361961</v>
      </c>
      <c r="P24" s="4">
        <f t="shared" si="40"/>
        <v>0.59240110047638039</v>
      </c>
      <c r="Q24" s="4">
        <f t="shared" si="6"/>
        <v>0</v>
      </c>
      <c r="R24" s="4">
        <f t="shared" si="41"/>
        <v>0.75549926387148247</v>
      </c>
      <c r="S24" s="360">
        <f t="shared" si="7"/>
        <v>2.2831165508414076E-3</v>
      </c>
      <c r="T24" s="360">
        <f t="shared" si="8"/>
        <v>0.3</v>
      </c>
      <c r="U24" s="360">
        <f t="shared" si="9"/>
        <v>0.30233833844399782</v>
      </c>
      <c r="V24" s="4">
        <f t="shared" si="42"/>
        <v>9.0989767063950552E-2</v>
      </c>
      <c r="W24" s="360">
        <f t="shared" si="10"/>
        <v>1.6558275420703964E-5</v>
      </c>
      <c r="X24" s="360">
        <f t="shared" si="43"/>
        <v>1.6558275420703964E-5</v>
      </c>
      <c r="Y24" s="4">
        <f t="shared" si="44"/>
        <v>0.16031447459693454</v>
      </c>
      <c r="Z24" s="360">
        <f t="shared" si="11"/>
        <v>2.5700730765291173E-5</v>
      </c>
      <c r="AA24" s="541">
        <f t="shared" si="45"/>
        <v>2.5700730765291173E-5</v>
      </c>
      <c r="AB24" s="360">
        <f t="shared" si="46"/>
        <v>0.73743034258934437</v>
      </c>
      <c r="AC24" s="360">
        <f t="shared" si="12"/>
        <v>3.262821061028627E-3</v>
      </c>
      <c r="AD24" s="360">
        <f t="shared" si="13"/>
        <v>5.6011761443160862E-2</v>
      </c>
      <c r="AE24" s="360">
        <f t="shared" si="14"/>
        <v>0.6042329999999998</v>
      </c>
      <c r="AF24" s="360">
        <f t="shared" si="15"/>
        <v>0</v>
      </c>
      <c r="AG24" s="360">
        <f t="shared" si="16"/>
        <v>0.66394084653966268</v>
      </c>
      <c r="AH24" s="360">
        <f t="shared" si="17"/>
        <v>0.16424258747022386</v>
      </c>
      <c r="AI24" s="360">
        <f t="shared" si="18"/>
        <v>6.7439068847285338E-5</v>
      </c>
      <c r="AJ24" s="360">
        <f t="shared" si="19"/>
        <v>2.9399999999999999E-2</v>
      </c>
      <c r="AK24" s="360">
        <f t="shared" si="20"/>
        <v>2.9467741134954806E-2</v>
      </c>
      <c r="AL24" s="360">
        <f t="shared" si="21"/>
        <v>2.9399999999999999E-2</v>
      </c>
      <c r="AM24" s="360">
        <f t="shared" si="22"/>
        <v>0.37799999999999989</v>
      </c>
      <c r="AN24" s="360">
        <f t="shared" si="23"/>
        <v>2.2831165508414076E-3</v>
      </c>
      <c r="AO24" s="360">
        <f t="shared" si="24"/>
        <v>7.3499999999999998E-4</v>
      </c>
      <c r="AP24" s="360">
        <f t="shared" si="25"/>
        <v>0.32999999999999996</v>
      </c>
      <c r="AQ24" s="360">
        <f t="shared" si="26"/>
        <v>1.2539999999999998</v>
      </c>
      <c r="AR24" s="360">
        <f t="shared" si="27"/>
        <v>1.0559999999999998</v>
      </c>
      <c r="AS24" s="360">
        <f t="shared" si="28"/>
        <v>0.33073499999999995</v>
      </c>
      <c r="AT24" s="360">
        <f t="shared" si="29"/>
        <v>1.7362073016756425</v>
      </c>
      <c r="AU24">
        <f t="shared" si="30"/>
        <v>15</v>
      </c>
      <c r="AV24" s="542">
        <f t="shared" si="47"/>
        <v>0.89626040892181047</v>
      </c>
      <c r="AW24" s="551">
        <f t="shared" si="31"/>
        <v>45.671042326983127</v>
      </c>
      <c r="AX24" s="551">
        <f t="shared" si="32"/>
        <v>5.8598941631282813</v>
      </c>
      <c r="AY24" s="9"/>
      <c r="AZ24" s="4">
        <f t="shared" si="48"/>
        <v>89.626040892181052</v>
      </c>
      <c r="BA24" s="360">
        <f t="shared" si="33"/>
        <v>0.30233833844399782</v>
      </c>
      <c r="BB24" s="360">
        <f t="shared" si="34"/>
        <v>1.0714085876746173</v>
      </c>
      <c r="BC24" s="360">
        <f t="shared" si="35"/>
        <v>0.9134208465396626</v>
      </c>
      <c r="BD24" s="360">
        <f t="shared" si="36"/>
        <v>0.15420774113495478</v>
      </c>
      <c r="BE24" s="360">
        <f t="shared" si="37"/>
        <v>2.2831165508414076E-3</v>
      </c>
      <c r="BK24" s="18"/>
      <c r="BL24" s="19"/>
    </row>
    <row r="25" spans="1:65" x14ac:dyDescent="0.2">
      <c r="A25" s="35" t="s">
        <v>85</v>
      </c>
      <c r="B25" s="40">
        <f>Cout_ESR*1000</f>
        <v>2</v>
      </c>
      <c r="C25" s="442" t="s">
        <v>466</v>
      </c>
      <c r="D25" s="440" t="s">
        <v>482</v>
      </c>
      <c r="G25">
        <v>16</v>
      </c>
      <c r="H25" s="548">
        <f t="shared" si="0"/>
        <v>21</v>
      </c>
      <c r="I25" s="4">
        <f t="shared" si="1"/>
        <v>1</v>
      </c>
      <c r="J25" s="360">
        <f t="shared" si="38"/>
        <v>0.8</v>
      </c>
      <c r="K25" s="360">
        <f t="shared" si="2"/>
        <v>0.8</v>
      </c>
      <c r="L25" s="4">
        <f t="shared" si="3"/>
        <v>0.84656084656084651</v>
      </c>
      <c r="M25" s="360">
        <f t="shared" si="4"/>
        <v>0.95276280451800932</v>
      </c>
      <c r="N25" s="4">
        <f t="shared" si="5"/>
        <v>0.31504690069395536</v>
      </c>
      <c r="O25" s="4">
        <f t="shared" si="39"/>
        <v>0.95752345034697772</v>
      </c>
      <c r="P25" s="4">
        <f t="shared" si="40"/>
        <v>0.64247654965302237</v>
      </c>
      <c r="Q25" s="4">
        <f t="shared" si="6"/>
        <v>0</v>
      </c>
      <c r="R25" s="4">
        <f t="shared" si="41"/>
        <v>0.8051529124767165</v>
      </c>
      <c r="S25" s="360">
        <f t="shared" si="7"/>
        <v>2.5930848498789561E-3</v>
      </c>
      <c r="T25" s="360">
        <f t="shared" si="8"/>
        <v>0.3</v>
      </c>
      <c r="U25" s="360">
        <f t="shared" si="9"/>
        <v>0.30265586983794324</v>
      </c>
      <c r="V25" s="4">
        <f t="shared" si="42"/>
        <v>9.094620646150621E-2</v>
      </c>
      <c r="W25" s="360">
        <f t="shared" si="10"/>
        <v>1.654242493947783E-5</v>
      </c>
      <c r="X25" s="360">
        <f t="shared" si="43"/>
        <v>1.654242493947783E-5</v>
      </c>
      <c r="Y25" s="4">
        <f t="shared" si="44"/>
        <v>0.170809813270029</v>
      </c>
      <c r="Z25" s="360">
        <f t="shared" si="11"/>
        <v>2.9175992309342177E-5</v>
      </c>
      <c r="AA25" s="541">
        <f t="shared" si="45"/>
        <v>2.9175992309342177E-5</v>
      </c>
      <c r="AB25" s="360">
        <f t="shared" si="46"/>
        <v>0.78590629115751387</v>
      </c>
      <c r="AC25" s="360">
        <f t="shared" si="12"/>
        <v>3.7058921908857535E-3</v>
      </c>
      <c r="AD25" s="360">
        <f t="shared" si="13"/>
        <v>5.9745878872704918E-2</v>
      </c>
      <c r="AE25" s="360">
        <f t="shared" si="14"/>
        <v>0.6042329999999998</v>
      </c>
      <c r="AF25" s="360">
        <f t="shared" si="15"/>
        <v>0</v>
      </c>
      <c r="AG25" s="360">
        <f t="shared" si="16"/>
        <v>0.66818001168106944</v>
      </c>
      <c r="AH25" s="360">
        <f t="shared" si="17"/>
        <v>0.17499289696664885</v>
      </c>
      <c r="AI25" s="360">
        <f t="shared" si="18"/>
        <v>7.6556284971950446E-5</v>
      </c>
      <c r="AJ25" s="360">
        <f t="shared" si="19"/>
        <v>3.1359999999999999E-2</v>
      </c>
      <c r="AK25" s="360">
        <f t="shared" si="20"/>
        <v>3.1436922102454946E-2</v>
      </c>
      <c r="AL25" s="360">
        <f t="shared" si="21"/>
        <v>3.1359999999999999E-2</v>
      </c>
      <c r="AM25" s="360">
        <f t="shared" si="22"/>
        <v>0.40319999999999995</v>
      </c>
      <c r="AN25" s="360">
        <f t="shared" si="23"/>
        <v>2.5930848498789561E-3</v>
      </c>
      <c r="AO25" s="360">
        <f t="shared" si="24"/>
        <v>7.3499999999999998E-4</v>
      </c>
      <c r="AP25" s="360">
        <f t="shared" si="25"/>
        <v>0.32999999999999996</v>
      </c>
      <c r="AQ25" s="360">
        <f t="shared" si="26"/>
        <v>1.2539999999999998</v>
      </c>
      <c r="AR25" s="360">
        <f t="shared" si="27"/>
        <v>1.0559999999999998</v>
      </c>
      <c r="AS25" s="360">
        <f t="shared" si="28"/>
        <v>0.33073499999999995</v>
      </c>
      <c r="AT25" s="360">
        <f t="shared" si="29"/>
        <v>1.7702066068885953</v>
      </c>
      <c r="AU25">
        <f t="shared" si="30"/>
        <v>16</v>
      </c>
      <c r="AV25" s="542">
        <f t="shared" si="47"/>
        <v>0.90038345383095442</v>
      </c>
      <c r="AW25" s="551">
        <f t="shared" si="31"/>
        <v>46.714600584053464</v>
      </c>
      <c r="AX25" s="551">
        <f t="shared" si="32"/>
        <v>6.2507310398932869</v>
      </c>
      <c r="AY25" s="9"/>
      <c r="AZ25" s="4">
        <f t="shared" si="48"/>
        <v>90.038345383095447</v>
      </c>
      <c r="BA25" s="360">
        <f t="shared" si="33"/>
        <v>0.30265586983794324</v>
      </c>
      <c r="BB25" s="360">
        <f t="shared" si="34"/>
        <v>1.1028169337835243</v>
      </c>
      <c r="BC25" s="360">
        <f t="shared" si="35"/>
        <v>0.93429201168106935</v>
      </c>
      <c r="BD25" s="360">
        <f t="shared" si="36"/>
        <v>0.16449292210245492</v>
      </c>
      <c r="BE25" s="360">
        <f t="shared" si="37"/>
        <v>2.5930848498789561E-3</v>
      </c>
    </row>
    <row r="26" spans="1:65" x14ac:dyDescent="0.2">
      <c r="A26" s="24" t="s">
        <v>112</v>
      </c>
      <c r="B26" s="37" t="s">
        <v>111</v>
      </c>
      <c r="C26" s="24" t="s">
        <v>76</v>
      </c>
      <c r="D26" s="17" t="s">
        <v>107</v>
      </c>
      <c r="G26">
        <v>17</v>
      </c>
      <c r="H26" s="548">
        <f t="shared" si="0"/>
        <v>21</v>
      </c>
      <c r="I26" s="4">
        <f t="shared" si="1"/>
        <v>1</v>
      </c>
      <c r="J26" s="360">
        <f t="shared" si="38"/>
        <v>0.85</v>
      </c>
      <c r="K26" s="360">
        <f t="shared" si="2"/>
        <v>0.85</v>
      </c>
      <c r="L26" s="4">
        <f t="shared" si="3"/>
        <v>0.89947089947089942</v>
      </c>
      <c r="M26" s="360">
        <f t="shared" si="4"/>
        <v>0.95278666979358762</v>
      </c>
      <c r="N26" s="4">
        <f t="shared" si="5"/>
        <v>0.31489599436678023</v>
      </c>
      <c r="O26" s="4">
        <f t="shared" si="39"/>
        <v>1.0074479971833901</v>
      </c>
      <c r="P26" s="4">
        <f t="shared" si="40"/>
        <v>0.69255200281660989</v>
      </c>
      <c r="Q26" s="4">
        <f t="shared" si="6"/>
        <v>0</v>
      </c>
      <c r="R26" s="4">
        <f t="shared" si="41"/>
        <v>0.85484693987034133</v>
      </c>
      <c r="S26" s="360">
        <f t="shared" si="7"/>
        <v>2.9230531624227481E-3</v>
      </c>
      <c r="T26" s="360">
        <f t="shared" si="8"/>
        <v>0.3</v>
      </c>
      <c r="U26" s="360">
        <f t="shared" si="9"/>
        <v>0.30299390654616071</v>
      </c>
      <c r="V26" s="4">
        <f t="shared" si="42"/>
        <v>9.0902643557197724E-2</v>
      </c>
      <c r="W26" s="360">
        <f t="shared" si="10"/>
        <v>1.6526581211373884E-5</v>
      </c>
      <c r="X26" s="360">
        <f t="shared" si="43"/>
        <v>1.6526581211373884E-5</v>
      </c>
      <c r="Y26" s="4">
        <f t="shared" si="44"/>
        <v>0.1813086461016348</v>
      </c>
      <c r="Z26" s="360">
        <f t="shared" si="11"/>
        <v>3.2872825151207853E-5</v>
      </c>
      <c r="AA26" s="541">
        <f t="shared" si="45"/>
        <v>3.2872825151207853E-5</v>
      </c>
      <c r="AB26" s="360">
        <f t="shared" si="46"/>
        <v>0.83442286765380302</v>
      </c>
      <c r="AC26" s="360">
        <f t="shared" si="12"/>
        <v>4.1775691323815761E-3</v>
      </c>
      <c r="AD26" s="360">
        <f t="shared" si="13"/>
        <v>6.3479996302248959E-2</v>
      </c>
      <c r="AE26" s="360">
        <f t="shared" si="14"/>
        <v>0.6042329999999998</v>
      </c>
      <c r="AF26" s="360">
        <f t="shared" si="15"/>
        <v>0</v>
      </c>
      <c r="AG26" s="360">
        <f t="shared" si="16"/>
        <v>0.67245240871976297</v>
      </c>
      <c r="AH26" s="360">
        <f t="shared" si="17"/>
        <v>0.18574651690433064</v>
      </c>
      <c r="AI26" s="360">
        <f t="shared" si="18"/>
        <v>8.6254421355226973E-5</v>
      </c>
      <c r="AJ26" s="360">
        <f t="shared" si="19"/>
        <v>3.3319999999999995E-2</v>
      </c>
      <c r="AK26" s="360">
        <f t="shared" si="20"/>
        <v>3.3406692405543496E-2</v>
      </c>
      <c r="AL26" s="360">
        <f t="shared" si="21"/>
        <v>3.3319999999999995E-2</v>
      </c>
      <c r="AM26" s="360">
        <f t="shared" si="22"/>
        <v>0.42839999999999995</v>
      </c>
      <c r="AN26" s="360">
        <f t="shared" si="23"/>
        <v>2.9230531624227481E-3</v>
      </c>
      <c r="AO26" s="360">
        <f t="shared" si="24"/>
        <v>7.3499999999999998E-4</v>
      </c>
      <c r="AP26" s="360">
        <f t="shared" si="25"/>
        <v>0.32999999999999996</v>
      </c>
      <c r="AQ26" s="360">
        <f t="shared" si="26"/>
        <v>1.2539999999999998</v>
      </c>
      <c r="AR26" s="360">
        <f t="shared" si="27"/>
        <v>1.0559999999999998</v>
      </c>
      <c r="AS26" s="360">
        <f t="shared" si="28"/>
        <v>0.33073499999999995</v>
      </c>
      <c r="AT26" s="360">
        <f t="shared" si="29"/>
        <v>1.8042804602402522</v>
      </c>
      <c r="AU26">
        <f t="shared" si="30"/>
        <v>17</v>
      </c>
      <c r="AV26" s="542">
        <f t="shared" si="47"/>
        <v>0.90404948149676767</v>
      </c>
      <c r="AW26" s="551">
        <f t="shared" si="31"/>
        <v>47.759820435988146</v>
      </c>
      <c r="AX26" s="551">
        <f t="shared" si="32"/>
        <v>6.6415903114106527</v>
      </c>
      <c r="AY26" s="9"/>
      <c r="AZ26" s="4">
        <f t="shared" si="48"/>
        <v>90.40494814967677</v>
      </c>
      <c r="BA26" s="360">
        <f t="shared" si="33"/>
        <v>0.30299390654616071</v>
      </c>
      <c r="BB26" s="360">
        <f t="shared" si="34"/>
        <v>1.1342591011253065</v>
      </c>
      <c r="BC26" s="360">
        <f t="shared" si="35"/>
        <v>0.95519640871976297</v>
      </c>
      <c r="BD26" s="360">
        <f t="shared" si="36"/>
        <v>0.1747786924055435</v>
      </c>
      <c r="BE26" s="360">
        <f t="shared" si="37"/>
        <v>2.9230531624227481E-3</v>
      </c>
    </row>
    <row r="27" spans="1:65" x14ac:dyDescent="0.2">
      <c r="A27" s="22" t="s">
        <v>61</v>
      </c>
      <c r="B27" s="5">
        <f>RdsonDRT</f>
        <v>1</v>
      </c>
      <c r="C27" s="444" t="s">
        <v>116</v>
      </c>
      <c r="D27" s="440" t="s">
        <v>507</v>
      </c>
      <c r="G27">
        <v>18</v>
      </c>
      <c r="H27" s="548">
        <f t="shared" si="0"/>
        <v>21</v>
      </c>
      <c r="I27" s="4">
        <f t="shared" si="1"/>
        <v>1</v>
      </c>
      <c r="J27" s="360">
        <f t="shared" si="38"/>
        <v>0.9</v>
      </c>
      <c r="K27" s="360">
        <f t="shared" si="2"/>
        <v>0.9</v>
      </c>
      <c r="L27" s="4">
        <f t="shared" si="3"/>
        <v>0.95238095238095233</v>
      </c>
      <c r="M27" s="360">
        <f t="shared" si="4"/>
        <v>0.95281053501234503</v>
      </c>
      <c r="N27" s="4">
        <f t="shared" si="5"/>
        <v>0.31474508006574453</v>
      </c>
      <c r="O27" s="4">
        <f t="shared" si="39"/>
        <v>1.0573725400328722</v>
      </c>
      <c r="P27" s="4">
        <f t="shared" si="40"/>
        <v>0.74262745996712776</v>
      </c>
      <c r="Q27" s="4">
        <f t="shared" si="6"/>
        <v>0</v>
      </c>
      <c r="R27" s="4">
        <f t="shared" si="41"/>
        <v>0.90457469128801049</v>
      </c>
      <c r="S27" s="360">
        <f t="shared" si="7"/>
        <v>3.2730214884751979E-3</v>
      </c>
      <c r="T27" s="360">
        <f t="shared" si="8"/>
        <v>0.3</v>
      </c>
      <c r="U27" s="360">
        <f t="shared" si="9"/>
        <v>0.30335245181594522</v>
      </c>
      <c r="V27" s="4">
        <f t="shared" si="42"/>
        <v>9.0859078351033962E-2</v>
      </c>
      <c r="W27" s="360">
        <f t="shared" si="10"/>
        <v>1.6510744237598659E-5</v>
      </c>
      <c r="X27" s="360">
        <f t="shared" si="43"/>
        <v>1.6510744237598659E-5</v>
      </c>
      <c r="Y27" s="4">
        <f t="shared" si="44"/>
        <v>0.19180955360387661</v>
      </c>
      <c r="Z27" s="360">
        <f t="shared" si="11"/>
        <v>3.6790904853718414E-5</v>
      </c>
      <c r="AA27" s="541">
        <f t="shared" si="45"/>
        <v>3.6790904853718414E-5</v>
      </c>
      <c r="AB27" s="360">
        <f t="shared" si="46"/>
        <v>0.8829735776823896</v>
      </c>
      <c r="AC27" s="360">
        <f t="shared" si="12"/>
        <v>4.6778540333114339E-3</v>
      </c>
      <c r="AD27" s="360">
        <f t="shared" si="13"/>
        <v>6.7214113731793049E-2</v>
      </c>
      <c r="AE27" s="360">
        <f t="shared" si="14"/>
        <v>0.6042329999999998</v>
      </c>
      <c r="AF27" s="360">
        <f t="shared" si="15"/>
        <v>0</v>
      </c>
      <c r="AG27" s="360">
        <f t="shared" si="16"/>
        <v>0.67675812290806869</v>
      </c>
      <c r="AH27" s="360">
        <f t="shared" si="17"/>
        <v>0.19650199295060769</v>
      </c>
      <c r="AI27" s="360">
        <f t="shared" si="18"/>
        <v>9.6532583083901695E-5</v>
      </c>
      <c r="AJ27" s="360">
        <f t="shared" si="19"/>
        <v>3.5279999999999999E-2</v>
      </c>
      <c r="AK27" s="360">
        <f t="shared" si="20"/>
        <v>3.5377051668887188E-2</v>
      </c>
      <c r="AL27" s="360">
        <f t="shared" si="21"/>
        <v>3.5279999999999999E-2</v>
      </c>
      <c r="AM27" s="360">
        <f t="shared" si="22"/>
        <v>0.45359999999999995</v>
      </c>
      <c r="AN27" s="360">
        <f t="shared" si="23"/>
        <v>3.2730214884751979E-3</v>
      </c>
      <c r="AO27" s="360">
        <f t="shared" si="24"/>
        <v>7.3499999999999998E-4</v>
      </c>
      <c r="AP27" s="360">
        <f t="shared" si="25"/>
        <v>0.32999999999999996</v>
      </c>
      <c r="AQ27" s="360">
        <f t="shared" si="26"/>
        <v>1.2539999999999998</v>
      </c>
      <c r="AR27" s="360">
        <f t="shared" si="27"/>
        <v>1.0559999999999998</v>
      </c>
      <c r="AS27" s="360">
        <f t="shared" si="28"/>
        <v>0.33073499999999995</v>
      </c>
      <c r="AT27" s="360">
        <f t="shared" si="29"/>
        <v>1.8384289495304678</v>
      </c>
      <c r="AU27">
        <f t="shared" si="30"/>
        <v>18</v>
      </c>
      <c r="AV27" s="542">
        <f t="shared" si="47"/>
        <v>0.9073299123530657</v>
      </c>
      <c r="AW27" s="551">
        <f t="shared" si="31"/>
        <v>48.806706145403432</v>
      </c>
      <c r="AX27" s="551">
        <f t="shared" si="32"/>
        <v>7.0324719634177129</v>
      </c>
      <c r="AY27" s="9"/>
      <c r="AZ27" s="4">
        <f t="shared" si="48"/>
        <v>90.732991235306571</v>
      </c>
      <c r="BA27" s="360">
        <f t="shared" si="33"/>
        <v>0.30335245181594522</v>
      </c>
      <c r="BB27" s="360">
        <f t="shared" si="34"/>
        <v>1.1657351745769557</v>
      </c>
      <c r="BC27" s="360">
        <f t="shared" si="35"/>
        <v>0.97613412290806867</v>
      </c>
      <c r="BD27" s="360">
        <f t="shared" si="36"/>
        <v>0.18506505166888718</v>
      </c>
      <c r="BE27" s="360">
        <f t="shared" si="37"/>
        <v>3.2730214884751979E-3</v>
      </c>
    </row>
    <row r="28" spans="1:65" x14ac:dyDescent="0.2">
      <c r="A28" s="22" t="s">
        <v>126</v>
      </c>
      <c r="B28" s="5">
        <f>RdsonDRT2</f>
        <v>0.5</v>
      </c>
      <c r="C28" s="444" t="s">
        <v>116</v>
      </c>
      <c r="D28" s="440" t="s">
        <v>506</v>
      </c>
      <c r="G28">
        <v>19</v>
      </c>
      <c r="H28" s="548">
        <f t="shared" si="0"/>
        <v>21</v>
      </c>
      <c r="I28" s="4">
        <f t="shared" si="1"/>
        <v>1</v>
      </c>
      <c r="J28" s="360">
        <f t="shared" si="38"/>
        <v>0.95</v>
      </c>
      <c r="K28" s="360">
        <f t="shared" si="2"/>
        <v>0.95</v>
      </c>
      <c r="L28" s="4">
        <f t="shared" si="3"/>
        <v>1.0052910052910051</v>
      </c>
      <c r="M28" s="360">
        <f t="shared" si="4"/>
        <v>0.95283440017428178</v>
      </c>
      <c r="N28" s="4">
        <f t="shared" si="5"/>
        <v>0.31459415779087563</v>
      </c>
      <c r="O28" s="4">
        <f t="shared" si="39"/>
        <v>1.1072970788954377</v>
      </c>
      <c r="P28" s="4">
        <f t="shared" si="40"/>
        <v>0.7927029211045622</v>
      </c>
      <c r="Q28" s="4">
        <f t="shared" si="6"/>
        <v>0</v>
      </c>
      <c r="R28" s="4">
        <f t="shared" si="41"/>
        <v>0.95433089492569567</v>
      </c>
      <c r="S28" s="360">
        <f t="shared" si="7"/>
        <v>3.6429898280387167E-3</v>
      </c>
      <c r="T28" s="360">
        <f t="shared" si="8"/>
        <v>0.3</v>
      </c>
      <c r="U28" s="360">
        <f t="shared" si="9"/>
        <v>0.30373150909188484</v>
      </c>
      <c r="V28" s="4">
        <f t="shared" si="42"/>
        <v>9.0815510843022834E-2</v>
      </c>
      <c r="W28" s="360">
        <f t="shared" si="10"/>
        <v>1.6494914019358398E-5</v>
      </c>
      <c r="X28" s="360">
        <f t="shared" si="43"/>
        <v>1.6494914019358398E-5</v>
      </c>
      <c r="Y28" s="4">
        <f t="shared" si="44"/>
        <v>0.20231141081777212</v>
      </c>
      <c r="Z28" s="360">
        <f t="shared" si="11"/>
        <v>4.0929906947077363E-5</v>
      </c>
      <c r="AA28" s="541">
        <f t="shared" si="45"/>
        <v>4.0929906947077363E-5</v>
      </c>
      <c r="AB28" s="360">
        <f t="shared" si="46"/>
        <v>0.93155327647433572</v>
      </c>
      <c r="AC28" s="360">
        <f t="shared" si="12"/>
        <v>5.2067490414604211E-3</v>
      </c>
      <c r="AD28" s="360">
        <f t="shared" si="13"/>
        <v>7.0948231161337083E-2</v>
      </c>
      <c r="AE28" s="360">
        <f t="shared" si="14"/>
        <v>0.6042329999999998</v>
      </c>
      <c r="AF28" s="360">
        <f t="shared" si="15"/>
        <v>0</v>
      </c>
      <c r="AG28" s="360">
        <f t="shared" si="16"/>
        <v>0.68109724068381172</v>
      </c>
      <c r="AH28" s="360">
        <f t="shared" si="17"/>
        <v>0.20725817257615931</v>
      </c>
      <c r="AI28" s="360">
        <f t="shared" si="18"/>
        <v>1.0738987524902259E-4</v>
      </c>
      <c r="AJ28" s="360">
        <f t="shared" si="19"/>
        <v>3.7239999999999995E-2</v>
      </c>
      <c r="AK28" s="360">
        <f t="shared" si="20"/>
        <v>3.7347999516394371E-2</v>
      </c>
      <c r="AL28" s="360">
        <f t="shared" si="21"/>
        <v>3.7239999999999995E-2</v>
      </c>
      <c r="AM28" s="360">
        <f t="shared" si="22"/>
        <v>0.47879999999999995</v>
      </c>
      <c r="AN28" s="360">
        <f t="shared" si="23"/>
        <v>3.6429898280387167E-3</v>
      </c>
      <c r="AO28" s="360">
        <f t="shared" si="24"/>
        <v>7.3499999999999998E-4</v>
      </c>
      <c r="AP28" s="360">
        <f t="shared" si="25"/>
        <v>0.32999999999999996</v>
      </c>
      <c r="AQ28" s="360">
        <f t="shared" si="26"/>
        <v>1.2539999999999998</v>
      </c>
      <c r="AR28" s="360">
        <f t="shared" si="27"/>
        <v>1.0559999999999998</v>
      </c>
      <c r="AS28" s="360">
        <f t="shared" si="28"/>
        <v>0.33073499999999995</v>
      </c>
      <c r="AT28" s="360">
        <f t="shared" si="29"/>
        <v>1.872652163941096</v>
      </c>
      <c r="AU28">
        <f t="shared" si="30"/>
        <v>19</v>
      </c>
      <c r="AV28" s="542">
        <f t="shared" si="47"/>
        <v>0.91028202121931445</v>
      </c>
      <c r="AW28" s="551">
        <f t="shared" si="31"/>
        <v>49.855262034190581</v>
      </c>
      <c r="AX28" s="551">
        <f t="shared" si="32"/>
        <v>7.4233759816229847</v>
      </c>
      <c r="AY28" s="9"/>
      <c r="AZ28" s="4">
        <f t="shared" si="48"/>
        <v>91.028202121931443</v>
      </c>
      <c r="BA28" s="360">
        <f t="shared" si="33"/>
        <v>0.30373150909188484</v>
      </c>
      <c r="BB28" s="360">
        <f t="shared" si="34"/>
        <v>1.1972452402002061</v>
      </c>
      <c r="BC28" s="360">
        <f t="shared" si="35"/>
        <v>0.99710524068381168</v>
      </c>
      <c r="BD28" s="360">
        <f t="shared" si="36"/>
        <v>0.19535199951639434</v>
      </c>
      <c r="BE28" s="360">
        <f t="shared" si="37"/>
        <v>3.6429898280387167E-3</v>
      </c>
    </row>
    <row r="29" spans="1:65" x14ac:dyDescent="0.2">
      <c r="A29" s="24" t="s">
        <v>113</v>
      </c>
      <c r="B29" s="15" t="s">
        <v>111</v>
      </c>
      <c r="C29" s="24" t="s">
        <v>76</v>
      </c>
      <c r="D29" s="17" t="s">
        <v>107</v>
      </c>
      <c r="G29">
        <v>20</v>
      </c>
      <c r="H29" s="548">
        <f t="shared" si="0"/>
        <v>21</v>
      </c>
      <c r="I29" s="4">
        <f t="shared" si="1"/>
        <v>1</v>
      </c>
      <c r="J29" s="360">
        <f t="shared" si="38"/>
        <v>1</v>
      </c>
      <c r="K29" s="360">
        <f t="shared" si="2"/>
        <v>1</v>
      </c>
      <c r="L29" s="4">
        <f t="shared" si="3"/>
        <v>1.0582010582010581</v>
      </c>
      <c r="M29" s="360">
        <f t="shared" si="4"/>
        <v>0.95285826527939821</v>
      </c>
      <c r="N29" s="4">
        <f t="shared" si="5"/>
        <v>0.31444322754220094</v>
      </c>
      <c r="O29" s="4">
        <f t="shared" si="39"/>
        <v>1.1572216137711004</v>
      </c>
      <c r="P29" s="4">
        <f t="shared" si="40"/>
        <v>0.84277838622889956</v>
      </c>
      <c r="Q29" s="4">
        <f t="shared" si="6"/>
        <v>0</v>
      </c>
      <c r="R29" s="4">
        <f t="shared" si="41"/>
        <v>1.0041113211586301</v>
      </c>
      <c r="S29" s="360">
        <f t="shared" si="7"/>
        <v>4.0329581811157185E-3</v>
      </c>
      <c r="T29" s="360">
        <f t="shared" si="8"/>
        <v>0.3</v>
      </c>
      <c r="U29" s="360">
        <f t="shared" si="9"/>
        <v>0.30413108201594352</v>
      </c>
      <c r="V29" s="4">
        <f t="shared" si="42"/>
        <v>9.0771941033172238E-2</v>
      </c>
      <c r="W29" s="360">
        <f t="shared" si="10"/>
        <v>1.6479090557859398E-5</v>
      </c>
      <c r="X29" s="360">
        <f t="shared" si="43"/>
        <v>1.6479090557859398E-5</v>
      </c>
      <c r="Y29" s="4">
        <f t="shared" si="44"/>
        <v>0.21281331473585435</v>
      </c>
      <c r="Z29" s="360">
        <f t="shared" si="11"/>
        <v>4.5289506928861802E-5</v>
      </c>
      <c r="AA29" s="541">
        <f t="shared" si="45"/>
        <v>4.5289506928861802E-5</v>
      </c>
      <c r="AB29" s="360">
        <f t="shared" si="46"/>
        <v>0.98015783632054398</v>
      </c>
      <c r="AC29" s="360">
        <f t="shared" si="12"/>
        <v>5.7642563046034221E-3</v>
      </c>
      <c r="AD29" s="360">
        <f t="shared" si="13"/>
        <v>7.4682348590881145E-2</v>
      </c>
      <c r="AE29" s="360">
        <f t="shared" si="14"/>
        <v>0.6042329999999998</v>
      </c>
      <c r="AF29" s="360">
        <f t="shared" si="15"/>
        <v>0</v>
      </c>
      <c r="AG29" s="360">
        <f t="shared" si="16"/>
        <v>0.68546984967600655</v>
      </c>
      <c r="AH29" s="360">
        <f t="shared" si="17"/>
        <v>0.21801413068505324</v>
      </c>
      <c r="AI29" s="360">
        <f t="shared" si="18"/>
        <v>1.188254029458987E-4</v>
      </c>
      <c r="AJ29" s="360">
        <f t="shared" si="19"/>
        <v>3.9199999999999999E-2</v>
      </c>
      <c r="AK29" s="360">
        <f t="shared" si="20"/>
        <v>3.9319535571213905E-2</v>
      </c>
      <c r="AL29" s="360">
        <f t="shared" si="21"/>
        <v>3.9199999999999999E-2</v>
      </c>
      <c r="AM29" s="360">
        <f t="shared" si="22"/>
        <v>0.50399999999999989</v>
      </c>
      <c r="AN29" s="360">
        <f t="shared" si="23"/>
        <v>4.0329581811157185E-3</v>
      </c>
      <c r="AO29" s="360">
        <f t="shared" si="24"/>
        <v>7.3499999999999998E-4</v>
      </c>
      <c r="AP29" s="360">
        <f t="shared" si="25"/>
        <v>0.32999999999999996</v>
      </c>
      <c r="AQ29" s="360">
        <f t="shared" si="26"/>
        <v>1.2539999999999998</v>
      </c>
      <c r="AR29" s="360">
        <f t="shared" si="27"/>
        <v>1.0559999999999998</v>
      </c>
      <c r="AS29" s="360">
        <f t="shared" si="28"/>
        <v>0.33073499999999995</v>
      </c>
      <c r="AT29" s="360">
        <f t="shared" si="29"/>
        <v>1.9069501940417661</v>
      </c>
      <c r="AU29">
        <f t="shared" si="30"/>
        <v>20</v>
      </c>
      <c r="AV29" s="542">
        <f t="shared" si="47"/>
        <v>0.91295227418007197</v>
      </c>
      <c r="AW29" s="551">
        <f t="shared" si="31"/>
        <v>50.905492483800316</v>
      </c>
      <c r="AX29" s="551">
        <f t="shared" si="32"/>
        <v>7.814302351706127</v>
      </c>
      <c r="AY29" s="9"/>
      <c r="AZ29" s="4">
        <f t="shared" si="48"/>
        <v>91.295227418007201</v>
      </c>
      <c r="BA29" s="360">
        <f t="shared" si="33"/>
        <v>0.30413108201594352</v>
      </c>
      <c r="BB29" s="360">
        <f t="shared" si="34"/>
        <v>1.2287893852472203</v>
      </c>
      <c r="BC29" s="360">
        <f t="shared" si="35"/>
        <v>1.0181098496760064</v>
      </c>
      <c r="BD29" s="360">
        <f t="shared" si="36"/>
        <v>0.20563953557121387</v>
      </c>
      <c r="BE29" s="360">
        <f t="shared" si="37"/>
        <v>4.0329581811157185E-3</v>
      </c>
    </row>
    <row r="30" spans="1:65" x14ac:dyDescent="0.2">
      <c r="A30" s="22" t="s">
        <v>60</v>
      </c>
      <c r="B30" s="27">
        <f>RdsonDRB</f>
        <v>1</v>
      </c>
      <c r="C30" s="444" t="s">
        <v>116</v>
      </c>
      <c r="D30" s="440" t="s">
        <v>505</v>
      </c>
      <c r="G30">
        <v>21</v>
      </c>
      <c r="H30" s="548">
        <f t="shared" si="0"/>
        <v>21</v>
      </c>
      <c r="I30" s="4">
        <f t="shared" si="1"/>
        <v>1</v>
      </c>
      <c r="J30" s="360">
        <f t="shared" si="38"/>
        <v>1.05</v>
      </c>
      <c r="K30" s="360">
        <f t="shared" si="2"/>
        <v>1.05</v>
      </c>
      <c r="L30" s="4">
        <f t="shared" si="3"/>
        <v>1.1111111111111109</v>
      </c>
      <c r="M30" s="360">
        <f t="shared" si="4"/>
        <v>0.9528821303276942</v>
      </c>
      <c r="N30" s="4">
        <f t="shared" si="5"/>
        <v>0.31429228931975101</v>
      </c>
      <c r="O30" s="4">
        <f t="shared" si="39"/>
        <v>1.2071461446598755</v>
      </c>
      <c r="P30" s="4">
        <f t="shared" si="40"/>
        <v>0.89285385534012451</v>
      </c>
      <c r="Q30" s="4">
        <f t="shared" si="6"/>
        <v>0</v>
      </c>
      <c r="R30" s="4">
        <f t="shared" si="41"/>
        <v>1.0539125376079148</v>
      </c>
      <c r="S30" s="360">
        <f t="shared" si="7"/>
        <v>4.4429265477086179E-3</v>
      </c>
      <c r="T30" s="360">
        <f t="shared" si="8"/>
        <v>0.3</v>
      </c>
      <c r="U30" s="360">
        <f t="shared" si="9"/>
        <v>0.30455117442754859</v>
      </c>
      <c r="V30" s="4">
        <f t="shared" si="42"/>
        <v>9.0728368921490998E-2</v>
      </c>
      <c r="W30" s="360">
        <f t="shared" si="10"/>
        <v>1.6463273854308349E-5</v>
      </c>
      <c r="X30" s="360">
        <f t="shared" si="43"/>
        <v>1.6463273854308349E-5</v>
      </c>
      <c r="Y30" s="4">
        <f t="shared" si="44"/>
        <v>0.22331453213802141</v>
      </c>
      <c r="Z30" s="360">
        <f t="shared" si="11"/>
        <v>4.9869380264023401E-5</v>
      </c>
      <c r="AA30" s="541">
        <f t="shared" si="45"/>
        <v>4.9869380264023401E-5</v>
      </c>
      <c r="AB30" s="360">
        <f t="shared" si="46"/>
        <v>1.0287839075420619</v>
      </c>
      <c r="AC30" s="360">
        <f t="shared" si="12"/>
        <v>6.3503779705050842E-3</v>
      </c>
      <c r="AD30" s="360">
        <f t="shared" si="13"/>
        <v>7.8416466020425207E-2</v>
      </c>
      <c r="AE30" s="360">
        <f t="shared" si="14"/>
        <v>0.6042329999999998</v>
      </c>
      <c r="AF30" s="360">
        <f t="shared" si="15"/>
        <v>0</v>
      </c>
      <c r="AG30" s="360">
        <f t="shared" si="16"/>
        <v>0.68987603871065151</v>
      </c>
      <c r="AH30" s="360">
        <f t="shared" si="17"/>
        <v>0.22876911616221399</v>
      </c>
      <c r="AI30" s="360">
        <f t="shared" si="18"/>
        <v>1.3083827127410139E-4</v>
      </c>
      <c r="AJ30" s="360">
        <f t="shared" si="19"/>
        <v>4.1160000000000002E-2</v>
      </c>
      <c r="AK30" s="360">
        <f t="shared" si="20"/>
        <v>4.1291659455733973E-2</v>
      </c>
      <c r="AL30" s="360">
        <f t="shared" si="21"/>
        <v>4.1160000000000002E-2</v>
      </c>
      <c r="AM30" s="360">
        <f t="shared" si="22"/>
        <v>0.52919999999999989</v>
      </c>
      <c r="AN30" s="360">
        <f t="shared" si="23"/>
        <v>4.4429265477086179E-3</v>
      </c>
      <c r="AO30" s="360">
        <f t="shared" si="24"/>
        <v>7.3499999999999998E-4</v>
      </c>
      <c r="AP30" s="360">
        <f t="shared" si="25"/>
        <v>0.32999999999999996</v>
      </c>
      <c r="AQ30" s="360">
        <f t="shared" si="26"/>
        <v>1.2539999999999998</v>
      </c>
      <c r="AR30" s="360">
        <f t="shared" si="27"/>
        <v>1.0559999999999998</v>
      </c>
      <c r="AS30" s="360">
        <f t="shared" si="28"/>
        <v>0.33073499999999995</v>
      </c>
      <c r="AT30" s="360">
        <f t="shared" si="29"/>
        <v>1.9413231317957609</v>
      </c>
      <c r="AU30">
        <f t="shared" si="30"/>
        <v>21</v>
      </c>
      <c r="AV30" s="542">
        <f t="shared" si="47"/>
        <v>0.91537876343735525</v>
      </c>
      <c r="AW30" s="551">
        <f t="shared" si="31"/>
        <v>51.957401935532573</v>
      </c>
      <c r="AX30" s="551">
        <f t="shared" si="32"/>
        <v>8.2052510593178898</v>
      </c>
      <c r="AY30" s="9"/>
      <c r="AZ30" s="4">
        <f t="shared" si="48"/>
        <v>91.537876343735519</v>
      </c>
      <c r="BA30" s="360">
        <f t="shared" si="33"/>
        <v>0.30455117442754859</v>
      </c>
      <c r="BB30" s="360">
        <f t="shared" si="34"/>
        <v>1.2603676981663854</v>
      </c>
      <c r="BC30" s="360">
        <f t="shared" si="35"/>
        <v>1.0391480387106515</v>
      </c>
      <c r="BD30" s="360">
        <f t="shared" si="36"/>
        <v>0.21592765945573394</v>
      </c>
      <c r="BE30" s="360">
        <f t="shared" si="37"/>
        <v>4.4429265477086179E-3</v>
      </c>
    </row>
    <row r="31" spans="1:65" x14ac:dyDescent="0.2">
      <c r="A31" s="22" t="s">
        <v>125</v>
      </c>
      <c r="B31" s="27">
        <v>1</v>
      </c>
      <c r="C31" s="444" t="s">
        <v>116</v>
      </c>
      <c r="D31" s="440" t="s">
        <v>504</v>
      </c>
      <c r="G31">
        <v>22</v>
      </c>
      <c r="H31" s="548">
        <f t="shared" si="0"/>
        <v>21</v>
      </c>
      <c r="I31" s="4">
        <f t="shared" si="1"/>
        <v>1</v>
      </c>
      <c r="J31" s="360">
        <f t="shared" si="38"/>
        <v>1.1000000000000001</v>
      </c>
      <c r="K31" s="360">
        <f t="shared" si="2"/>
        <v>1.1000000000000001</v>
      </c>
      <c r="L31" s="4">
        <f t="shared" si="3"/>
        <v>1.164021164021164</v>
      </c>
      <c r="M31" s="360">
        <f t="shared" si="4"/>
        <v>0.9529059953191702</v>
      </c>
      <c r="N31" s="4">
        <f t="shared" si="5"/>
        <v>0.31414134312355335</v>
      </c>
      <c r="O31" s="4">
        <f t="shared" si="39"/>
        <v>1.2570706715617768</v>
      </c>
      <c r="P31" s="4">
        <f t="shared" si="40"/>
        <v>0.94292932843822341</v>
      </c>
      <c r="Q31" s="4">
        <f t="shared" si="6"/>
        <v>0</v>
      </c>
      <c r="R31" s="4">
        <f t="shared" si="41"/>
        <v>1.1037317300662131</v>
      </c>
      <c r="S31" s="360">
        <f t="shared" si="7"/>
        <v>4.8728949278198236E-3</v>
      </c>
      <c r="T31" s="360">
        <f t="shared" si="8"/>
        <v>0.3</v>
      </c>
      <c r="U31" s="360">
        <f t="shared" si="9"/>
        <v>0.30499179036368301</v>
      </c>
      <c r="V31" s="4">
        <f t="shared" si="42"/>
        <v>9.0684794507987068E-2</v>
      </c>
      <c r="W31" s="360">
        <f t="shared" si="10"/>
        <v>1.6447463909911683E-5</v>
      </c>
      <c r="X31" s="360">
        <f t="shared" si="43"/>
        <v>1.6447463909911683E-5</v>
      </c>
      <c r="Y31" s="4">
        <f t="shared" si="44"/>
        <v>0.23381446145370827</v>
      </c>
      <c r="Z31" s="360">
        <f t="shared" si="11"/>
        <v>5.4669202384887631E-5</v>
      </c>
      <c r="AA31" s="541">
        <f t="shared" si="45"/>
        <v>5.4669202384887631E-5</v>
      </c>
      <c r="AB31" s="360">
        <f t="shared" si="46"/>
        <v>1.0774287437320258</v>
      </c>
      <c r="AC31" s="360">
        <f t="shared" si="12"/>
        <v>6.9651161869198281E-3</v>
      </c>
      <c r="AD31" s="360">
        <f t="shared" si="13"/>
        <v>8.2150583449969256E-2</v>
      </c>
      <c r="AE31" s="360">
        <f t="shared" si="14"/>
        <v>0.6042329999999998</v>
      </c>
      <c r="AF31" s="360">
        <f t="shared" si="15"/>
        <v>0</v>
      </c>
      <c r="AG31" s="360">
        <f t="shared" si="16"/>
        <v>0.69431589781663261</v>
      </c>
      <c r="AH31" s="360">
        <f t="shared" si="17"/>
        <v>0.23952251279365086</v>
      </c>
      <c r="AI31" s="360">
        <f t="shared" si="18"/>
        <v>1.4342758533746161E-4</v>
      </c>
      <c r="AJ31" s="360">
        <f t="shared" si="19"/>
        <v>4.3120000000000006E-2</v>
      </c>
      <c r="AK31" s="360">
        <f t="shared" si="20"/>
        <v>4.3264370791581006E-2</v>
      </c>
      <c r="AL31" s="360">
        <f t="shared" si="21"/>
        <v>4.3120000000000006E-2</v>
      </c>
      <c r="AM31" s="360">
        <f t="shared" si="22"/>
        <v>0.5544</v>
      </c>
      <c r="AN31" s="360">
        <f t="shared" si="23"/>
        <v>4.8728949278198236E-3</v>
      </c>
      <c r="AO31" s="360">
        <f t="shared" si="24"/>
        <v>7.3499999999999998E-4</v>
      </c>
      <c r="AP31" s="360">
        <f t="shared" si="25"/>
        <v>0.32999999999999996</v>
      </c>
      <c r="AQ31" s="360">
        <f t="shared" si="26"/>
        <v>1.2539999999999998</v>
      </c>
      <c r="AR31" s="360">
        <f t="shared" si="27"/>
        <v>1.0559999999999998</v>
      </c>
      <c r="AS31" s="360">
        <f t="shared" si="28"/>
        <v>0.33073499999999995</v>
      </c>
      <c r="AT31" s="360">
        <f t="shared" si="29"/>
        <v>1.9757710705660112</v>
      </c>
      <c r="AU31">
        <f t="shared" si="30"/>
        <v>22</v>
      </c>
      <c r="AV31" s="542">
        <f t="shared" si="47"/>
        <v>0.91759301234772062</v>
      </c>
      <c r="AW31" s="551">
        <f t="shared" si="31"/>
        <v>53.010994890831633</v>
      </c>
      <c r="AX31" s="551">
        <f t="shared" si="32"/>
        <v>8.5962220900800794</v>
      </c>
      <c r="AY31" s="9"/>
      <c r="AZ31" s="4">
        <f t="shared" si="48"/>
        <v>91.759301234772067</v>
      </c>
      <c r="BA31" s="360">
        <f t="shared" si="33"/>
        <v>0.30499179036368301</v>
      </c>
      <c r="BB31" s="360">
        <f t="shared" si="34"/>
        <v>1.2919802686082136</v>
      </c>
      <c r="BC31" s="360">
        <f t="shared" si="35"/>
        <v>1.0602198978166326</v>
      </c>
      <c r="BD31" s="360">
        <f t="shared" si="36"/>
        <v>0.22621637079158102</v>
      </c>
      <c r="BE31" s="360">
        <f t="shared" si="37"/>
        <v>4.8728949278198236E-3</v>
      </c>
    </row>
    <row r="32" spans="1:65" x14ac:dyDescent="0.2">
      <c r="A32" s="24" t="s">
        <v>62</v>
      </c>
      <c r="B32" s="15" t="s">
        <v>111</v>
      </c>
      <c r="C32" s="24" t="s">
        <v>76</v>
      </c>
      <c r="D32" s="17" t="s">
        <v>107</v>
      </c>
      <c r="G32">
        <v>23</v>
      </c>
      <c r="H32" s="548">
        <f t="shared" si="0"/>
        <v>21</v>
      </c>
      <c r="I32" s="4">
        <f t="shared" si="1"/>
        <v>1</v>
      </c>
      <c r="J32" s="360">
        <f t="shared" si="38"/>
        <v>1.1499999999999999</v>
      </c>
      <c r="K32" s="360">
        <f t="shared" si="2"/>
        <v>1.1499999999999999</v>
      </c>
      <c r="L32" s="4">
        <f t="shared" si="3"/>
        <v>1.2169312169312168</v>
      </c>
      <c r="M32" s="360">
        <f t="shared" si="4"/>
        <v>0.95292986025382631</v>
      </c>
      <c r="N32" s="4">
        <f t="shared" si="5"/>
        <v>0.31399038895363524</v>
      </c>
      <c r="O32" s="4">
        <f t="shared" si="39"/>
        <v>1.3069951944768174</v>
      </c>
      <c r="P32" s="4">
        <f t="shared" si="40"/>
        <v>0.99300480552318227</v>
      </c>
      <c r="Q32" s="4">
        <f t="shared" si="6"/>
        <v>0</v>
      </c>
      <c r="R32" s="4">
        <f t="shared" si="41"/>
        <v>1.1535665695411503</v>
      </c>
      <c r="S32" s="360">
        <f t="shared" si="7"/>
        <v>5.3228633214517504E-3</v>
      </c>
      <c r="T32" s="360">
        <f t="shared" si="8"/>
        <v>0.3</v>
      </c>
      <c r="U32" s="360">
        <f t="shared" si="9"/>
        <v>0.30545293405898233</v>
      </c>
      <c r="V32" s="4">
        <f t="shared" si="42"/>
        <v>9.0641217792668302E-2</v>
      </c>
      <c r="W32" s="360">
        <f t="shared" si="10"/>
        <v>1.6431660725875856E-5</v>
      </c>
      <c r="X32" s="360">
        <f t="shared" si="43"/>
        <v>1.6431660725875856E-5</v>
      </c>
      <c r="Y32" s="4">
        <f t="shared" si="44"/>
        <v>0.24431260444593383</v>
      </c>
      <c r="Z32" s="360">
        <f t="shared" si="11"/>
        <v>5.9688648691155332E-5</v>
      </c>
      <c r="AA32" s="541">
        <f t="shared" si="45"/>
        <v>5.9688648691155332E-5</v>
      </c>
      <c r="AB32" s="360">
        <f t="shared" si="46"/>
        <v>1.1260900720037046</v>
      </c>
      <c r="AC32" s="360">
        <f t="shared" si="12"/>
        <v>7.6084731015918523E-3</v>
      </c>
      <c r="AD32" s="360">
        <f t="shared" si="13"/>
        <v>8.5884700879513318E-2</v>
      </c>
      <c r="AE32" s="360">
        <f t="shared" si="14"/>
        <v>0.6042329999999998</v>
      </c>
      <c r="AF32" s="360">
        <f t="shared" si="15"/>
        <v>0</v>
      </c>
      <c r="AG32" s="360">
        <f t="shared" si="16"/>
        <v>0.69878951823173296</v>
      </c>
      <c r="AH32" s="360">
        <f t="shared" si="17"/>
        <v>0.25027381025115081</v>
      </c>
      <c r="AI32" s="360">
        <f t="shared" si="18"/>
        <v>1.565924502440726E-4</v>
      </c>
      <c r="AJ32" s="360">
        <f t="shared" si="19"/>
        <v>4.5079999999999995E-2</v>
      </c>
      <c r="AK32" s="360">
        <f t="shared" si="20"/>
        <v>4.523766919961849E-2</v>
      </c>
      <c r="AL32" s="360">
        <f t="shared" si="21"/>
        <v>4.5079999999999995E-2</v>
      </c>
      <c r="AM32" s="360">
        <f t="shared" si="22"/>
        <v>0.57959999999999989</v>
      </c>
      <c r="AN32" s="360">
        <f t="shared" si="23"/>
        <v>5.3228633214517504E-3</v>
      </c>
      <c r="AO32" s="360">
        <f t="shared" si="24"/>
        <v>7.3499999999999998E-4</v>
      </c>
      <c r="AP32" s="360">
        <f t="shared" si="25"/>
        <v>0.32999999999999996</v>
      </c>
      <c r="AQ32" s="360">
        <f t="shared" si="26"/>
        <v>1.2539999999999998</v>
      </c>
      <c r="AR32" s="360">
        <f t="shared" si="27"/>
        <v>1.0559999999999998</v>
      </c>
      <c r="AS32" s="360">
        <f t="shared" si="28"/>
        <v>0.33073499999999995</v>
      </c>
      <c r="AT32" s="360">
        <f t="shared" si="29"/>
        <v>2.0102941051212024</v>
      </c>
      <c r="AU32">
        <f t="shared" si="30"/>
        <v>23</v>
      </c>
      <c r="AV32" s="542">
        <f t="shared" si="47"/>
        <v>0.91962133285311631</v>
      </c>
      <c r="AW32" s="551">
        <f t="shared" si="31"/>
        <v>54.066275911586651</v>
      </c>
      <c r="AX32" s="551">
        <f t="shared" si="32"/>
        <v>8.9872154295855022</v>
      </c>
      <c r="AY32" s="9"/>
      <c r="AZ32" s="4">
        <f t="shared" si="48"/>
        <v>91.962133285311637</v>
      </c>
      <c r="BA32" s="360">
        <f t="shared" si="33"/>
        <v>0.30545293405898233</v>
      </c>
      <c r="BB32" s="360">
        <f t="shared" si="34"/>
        <v>1.3236271874313514</v>
      </c>
      <c r="BC32" s="360">
        <f t="shared" si="35"/>
        <v>1.081325518231733</v>
      </c>
      <c r="BD32" s="360">
        <f t="shared" si="36"/>
        <v>0.23650566919961846</v>
      </c>
      <c r="BE32" s="360">
        <f t="shared" si="37"/>
        <v>5.3228633214517504E-3</v>
      </c>
    </row>
    <row r="33" spans="1:57" x14ac:dyDescent="0.2">
      <c r="A33" s="22" t="s">
        <v>62</v>
      </c>
      <c r="B33" s="5">
        <f>Deadtime*1000000000</f>
        <v>14</v>
      </c>
      <c r="C33" s="440" t="s">
        <v>75</v>
      </c>
      <c r="D33" s="21" t="s">
        <v>98</v>
      </c>
      <c r="G33">
        <v>24</v>
      </c>
      <c r="H33" s="548">
        <f t="shared" si="0"/>
        <v>21</v>
      </c>
      <c r="I33" s="4">
        <f t="shared" si="1"/>
        <v>1</v>
      </c>
      <c r="J33" s="360">
        <f t="shared" si="38"/>
        <v>1.2</v>
      </c>
      <c r="K33" s="360">
        <f t="shared" si="2"/>
        <v>1.2</v>
      </c>
      <c r="L33" s="4">
        <f t="shared" si="3"/>
        <v>1.2698412698412698</v>
      </c>
      <c r="M33" s="360">
        <f t="shared" si="4"/>
        <v>0.95295372513166288</v>
      </c>
      <c r="N33" s="4">
        <f t="shared" si="5"/>
        <v>0.31383942681002747</v>
      </c>
      <c r="O33" s="4">
        <f t="shared" si="39"/>
        <v>1.3569197134050137</v>
      </c>
      <c r="P33" s="4">
        <f t="shared" si="40"/>
        <v>1.0430802865949862</v>
      </c>
      <c r="Q33" s="4">
        <f t="shared" si="6"/>
        <v>0</v>
      </c>
      <c r="R33" s="4">
        <f t="shared" si="41"/>
        <v>1.2034151121502936</v>
      </c>
      <c r="S33" s="360">
        <f t="shared" si="7"/>
        <v>5.7928317286068155E-3</v>
      </c>
      <c r="T33" s="360">
        <f t="shared" si="8"/>
        <v>0.3</v>
      </c>
      <c r="U33" s="360">
        <f t="shared" si="9"/>
        <v>0.30593460994583671</v>
      </c>
      <c r="V33" s="4">
        <f t="shared" si="42"/>
        <v>9.059763877554361E-2</v>
      </c>
      <c r="W33" s="360">
        <f t="shared" si="10"/>
        <v>1.6415864303407766E-5</v>
      </c>
      <c r="X33" s="360">
        <f t="shared" si="43"/>
        <v>1.6415864303407766E-5</v>
      </c>
      <c r="Y33" s="4">
        <f t="shared" si="44"/>
        <v>0.25480854489185079</v>
      </c>
      <c r="Z33" s="360">
        <f t="shared" si="11"/>
        <v>6.4927394549902336E-5</v>
      </c>
      <c r="AA33" s="541">
        <f t="shared" si="45"/>
        <v>6.4927394549902336E-5</v>
      </c>
      <c r="AB33" s="360">
        <f t="shared" si="46"/>
        <v>1.174765995298293</v>
      </c>
      <c r="AC33" s="360">
        <f t="shared" si="12"/>
        <v>8.2804508622551336E-3</v>
      </c>
      <c r="AD33" s="360">
        <f t="shared" si="13"/>
        <v>8.961881830905738E-2</v>
      </c>
      <c r="AE33" s="360">
        <f t="shared" si="14"/>
        <v>0.6042329999999998</v>
      </c>
      <c r="AF33" s="360">
        <f t="shared" si="15"/>
        <v>0</v>
      </c>
      <c r="AG33" s="360">
        <f t="shared" si="16"/>
        <v>0.70329699240875487</v>
      </c>
      <c r="AH33" s="360">
        <f t="shared" si="17"/>
        <v>0.26102258224627839</v>
      </c>
      <c r="AI33" s="360">
        <f t="shared" si="18"/>
        <v>1.7033197110628791E-4</v>
      </c>
      <c r="AJ33" s="360">
        <f t="shared" si="19"/>
        <v>4.7039999999999998E-2</v>
      </c>
      <c r="AK33" s="360">
        <f t="shared" si="20"/>
        <v>4.7211554299945925E-2</v>
      </c>
      <c r="AL33" s="360">
        <f t="shared" si="21"/>
        <v>4.7039999999999998E-2</v>
      </c>
      <c r="AM33" s="360">
        <f t="shared" si="22"/>
        <v>0.6048</v>
      </c>
      <c r="AN33" s="360">
        <f t="shared" si="23"/>
        <v>5.7928317286068155E-3</v>
      </c>
      <c r="AO33" s="360">
        <f t="shared" si="24"/>
        <v>7.3499999999999998E-4</v>
      </c>
      <c r="AP33" s="360">
        <f t="shared" si="25"/>
        <v>0.32999999999999996</v>
      </c>
      <c r="AQ33" s="360">
        <f t="shared" si="26"/>
        <v>1.2539999999999998</v>
      </c>
      <c r="AR33" s="360">
        <f t="shared" si="27"/>
        <v>1.0559999999999998</v>
      </c>
      <c r="AS33" s="360">
        <f t="shared" si="28"/>
        <v>0.33073499999999995</v>
      </c>
      <c r="AT33" s="360">
        <f t="shared" si="29"/>
        <v>2.0448923316419974</v>
      </c>
      <c r="AU33">
        <f t="shared" si="30"/>
        <v>24</v>
      </c>
      <c r="AV33" s="542">
        <f t="shared" si="47"/>
        <v>0.92148585966094965</v>
      </c>
      <c r="AW33" s="551">
        <f t="shared" si="31"/>
        <v>55.12324962043774</v>
      </c>
      <c r="AX33" s="551">
        <f t="shared" si="32"/>
        <v>9.378231063397946</v>
      </c>
      <c r="AY33" s="9"/>
      <c r="AZ33" s="4">
        <f t="shared" si="48"/>
        <v>92.14858596609497</v>
      </c>
      <c r="BA33" s="360">
        <f t="shared" si="33"/>
        <v>0.30593460994583671</v>
      </c>
      <c r="BB33" s="360">
        <f t="shared" si="34"/>
        <v>1.3553085467087009</v>
      </c>
      <c r="BC33" s="360">
        <f t="shared" si="35"/>
        <v>1.1024649924087548</v>
      </c>
      <c r="BD33" s="360">
        <f t="shared" si="36"/>
        <v>0.24679555429994593</v>
      </c>
      <c r="BE33" s="360">
        <f t="shared" si="37"/>
        <v>5.7928317286068155E-3</v>
      </c>
    </row>
    <row r="34" spans="1:57" x14ac:dyDescent="0.2">
      <c r="A34" s="24" t="s">
        <v>52</v>
      </c>
      <c r="B34" s="15" t="s">
        <v>111</v>
      </c>
      <c r="C34" s="24" t="s">
        <v>76</v>
      </c>
      <c r="D34" s="17" t="s">
        <v>107</v>
      </c>
      <c r="G34">
        <v>25</v>
      </c>
      <c r="H34" s="548">
        <f t="shared" si="0"/>
        <v>21</v>
      </c>
      <c r="I34" s="4">
        <f t="shared" si="1"/>
        <v>1</v>
      </c>
      <c r="J34" s="360">
        <f t="shared" si="38"/>
        <v>1.25</v>
      </c>
      <c r="K34" s="360">
        <f t="shared" si="2"/>
        <v>1.25</v>
      </c>
      <c r="L34" s="4">
        <f t="shared" si="3"/>
        <v>1.3227513227513226</v>
      </c>
      <c r="M34" s="360">
        <f t="shared" si="4"/>
        <v>0.95297758995267989</v>
      </c>
      <c r="N34" s="4">
        <f t="shared" si="5"/>
        <v>0.31368845669275736</v>
      </c>
      <c r="O34" s="4">
        <f t="shared" si="39"/>
        <v>1.4068442283463787</v>
      </c>
      <c r="P34" s="4">
        <f t="shared" si="40"/>
        <v>1.0931557716536213</v>
      </c>
      <c r="Q34" s="4">
        <f t="shared" si="6"/>
        <v>0</v>
      </c>
      <c r="R34" s="4">
        <f t="shared" si="41"/>
        <v>1.2532757227848375</v>
      </c>
      <c r="S34" s="360">
        <f t="shared" si="7"/>
        <v>6.2828001492874269E-3</v>
      </c>
      <c r="T34" s="360">
        <f t="shared" si="8"/>
        <v>0.3</v>
      </c>
      <c r="U34" s="360">
        <f t="shared" si="9"/>
        <v>0.30643682265449712</v>
      </c>
      <c r="V34" s="4">
        <f t="shared" si="42"/>
        <v>9.0554057456620873E-2</v>
      </c>
      <c r="W34" s="360">
        <f t="shared" si="10"/>
        <v>1.6400074643713989E-5</v>
      </c>
      <c r="X34" s="360">
        <f t="shared" si="43"/>
        <v>1.6400074643713989E-5</v>
      </c>
      <c r="Y34" s="4">
        <f t="shared" si="44"/>
        <v>0.26530193232538002</v>
      </c>
      <c r="Z34" s="360">
        <f t="shared" si="11"/>
        <v>7.0385115295580521E-5</v>
      </c>
      <c r="AA34" s="541">
        <f t="shared" si="45"/>
        <v>7.0385115295580521E-5</v>
      </c>
      <c r="AB34" s="360">
        <f t="shared" si="46"/>
        <v>1.2234549178885046</v>
      </c>
      <c r="AC34" s="360">
        <f t="shared" si="12"/>
        <v>8.9810516166334044E-3</v>
      </c>
      <c r="AD34" s="360">
        <f t="shared" si="13"/>
        <v>9.3352935738601428E-2</v>
      </c>
      <c r="AE34" s="360">
        <f t="shared" si="14"/>
        <v>0.6042329999999998</v>
      </c>
      <c r="AF34" s="360">
        <f t="shared" si="15"/>
        <v>0</v>
      </c>
      <c r="AG34" s="360">
        <f t="shared" si="16"/>
        <v>0.70783841402174763</v>
      </c>
      <c r="AH34" s="360">
        <f t="shared" si="17"/>
        <v>0.27176846987148701</v>
      </c>
      <c r="AI34" s="360">
        <f t="shared" si="18"/>
        <v>1.8464525304072335E-4</v>
      </c>
      <c r="AJ34" s="360">
        <f t="shared" si="19"/>
        <v>4.9000000000000002E-2</v>
      </c>
      <c r="AK34" s="360">
        <f t="shared" si="20"/>
        <v>4.9186025711897598E-2</v>
      </c>
      <c r="AL34" s="360">
        <f t="shared" si="21"/>
        <v>4.9000000000000002E-2</v>
      </c>
      <c r="AM34" s="360">
        <f t="shared" si="22"/>
        <v>0.63</v>
      </c>
      <c r="AN34" s="360">
        <f t="shared" si="23"/>
        <v>6.2828001492874269E-3</v>
      </c>
      <c r="AO34" s="360">
        <f t="shared" si="24"/>
        <v>7.3499999999999998E-4</v>
      </c>
      <c r="AP34" s="360">
        <f t="shared" si="25"/>
        <v>0.32999999999999996</v>
      </c>
      <c r="AQ34" s="360">
        <f t="shared" si="26"/>
        <v>1.2539999999999998</v>
      </c>
      <c r="AR34" s="360">
        <f t="shared" si="27"/>
        <v>1.0559999999999998</v>
      </c>
      <c r="AS34" s="360">
        <f t="shared" si="28"/>
        <v>0.33073499999999995</v>
      </c>
      <c r="AT34" s="360">
        <f t="shared" si="29"/>
        <v>2.0795658477273689</v>
      </c>
      <c r="AU34">
        <f t="shared" si="30"/>
        <v>25</v>
      </c>
      <c r="AV34" s="542">
        <f t="shared" si="47"/>
        <v>0.92320534755168926</v>
      </c>
      <c r="AW34" s="551">
        <f t="shared" si="31"/>
        <v>56.181920701087385</v>
      </c>
      <c r="AX34" s="551">
        <f t="shared" si="32"/>
        <v>9.7692689770521088</v>
      </c>
      <c r="AY34" s="9"/>
      <c r="AZ34" s="4">
        <f t="shared" si="48"/>
        <v>92.320534755168921</v>
      </c>
      <c r="BA34" s="360">
        <f t="shared" si="33"/>
        <v>0.30643682265449712</v>
      </c>
      <c r="BB34" s="360">
        <f t="shared" si="34"/>
        <v>1.3870244397336453</v>
      </c>
      <c r="BC34" s="360">
        <f t="shared" si="35"/>
        <v>1.1236384140217477</v>
      </c>
      <c r="BD34" s="360">
        <f t="shared" si="36"/>
        <v>0.25708602571189759</v>
      </c>
      <c r="BE34" s="360">
        <f t="shared" si="37"/>
        <v>6.2828001492874269E-3</v>
      </c>
    </row>
    <row r="35" spans="1:57" x14ac:dyDescent="0.2">
      <c r="A35" s="22" t="s">
        <v>128</v>
      </c>
      <c r="B35" s="5">
        <f>Iq*1000</f>
        <v>3.4999999999999996E-2</v>
      </c>
      <c r="C35" s="440" t="s">
        <v>64</v>
      </c>
      <c r="D35" s="21" t="s">
        <v>131</v>
      </c>
      <c r="G35">
        <v>26</v>
      </c>
      <c r="H35" s="548">
        <f t="shared" si="0"/>
        <v>21</v>
      </c>
      <c r="I35" s="4">
        <f t="shared" si="1"/>
        <v>1</v>
      </c>
      <c r="J35" s="360">
        <f t="shared" si="38"/>
        <v>1.3</v>
      </c>
      <c r="K35" s="360">
        <f t="shared" si="2"/>
        <v>1.3</v>
      </c>
      <c r="L35" s="4">
        <f t="shared" si="3"/>
        <v>1.3756613756613756</v>
      </c>
      <c r="M35" s="360">
        <f t="shared" si="4"/>
        <v>0.95300145471687769</v>
      </c>
      <c r="N35" s="4">
        <f t="shared" si="5"/>
        <v>0.31353747860185222</v>
      </c>
      <c r="O35" s="4">
        <f t="shared" si="39"/>
        <v>1.4567687393009261</v>
      </c>
      <c r="P35" s="4">
        <f t="shared" si="40"/>
        <v>1.143231260699074</v>
      </c>
      <c r="Q35" s="4">
        <f t="shared" si="6"/>
        <v>0</v>
      </c>
      <c r="R35" s="4">
        <f t="shared" si="41"/>
        <v>1.3031470162165131</v>
      </c>
      <c r="S35" s="360">
        <f t="shared" si="7"/>
        <v>6.7927685834960044E-3</v>
      </c>
      <c r="T35" s="360">
        <f t="shared" si="8"/>
        <v>0.3</v>
      </c>
      <c r="U35" s="360">
        <f t="shared" si="9"/>
        <v>0.30695957701318705</v>
      </c>
      <c r="V35" s="4">
        <f t="shared" si="42"/>
        <v>9.0510473835907962E-2</v>
      </c>
      <c r="W35" s="360">
        <f t="shared" si="10"/>
        <v>1.6384291748001159E-5</v>
      </c>
      <c r="X35" s="360">
        <f t="shared" si="43"/>
        <v>1.6384291748001159E-5</v>
      </c>
      <c r="Y35" s="4">
        <f t="shared" si="44"/>
        <v>0.27579246949475877</v>
      </c>
      <c r="Z35" s="360">
        <f t="shared" si="11"/>
        <v>7.6061486230017447E-5</v>
      </c>
      <c r="AA35" s="541">
        <f t="shared" si="45"/>
        <v>7.6061486230017447E-5</v>
      </c>
      <c r="AB35" s="360">
        <f t="shared" si="46"/>
        <v>1.272155487904957</v>
      </c>
      <c r="AC35" s="360">
        <f t="shared" si="12"/>
        <v>9.710277512440196E-3</v>
      </c>
      <c r="AD35" s="360">
        <f t="shared" si="13"/>
        <v>9.708705316814549E-2</v>
      </c>
      <c r="AE35" s="360">
        <f t="shared" si="14"/>
        <v>0.6042329999999998</v>
      </c>
      <c r="AF35" s="360">
        <f t="shared" si="15"/>
        <v>0</v>
      </c>
      <c r="AG35" s="360">
        <f t="shared" si="16"/>
        <v>0.71241387797235056</v>
      </c>
      <c r="AH35" s="360">
        <f t="shared" si="17"/>
        <v>0.2825111687478955</v>
      </c>
      <c r="AI35" s="360">
        <f t="shared" si="18"/>
        <v>1.995314011682547E-4</v>
      </c>
      <c r="AJ35" s="360">
        <f t="shared" si="19"/>
        <v>5.0959999999999998E-2</v>
      </c>
      <c r="AK35" s="360">
        <f t="shared" si="20"/>
        <v>5.116108305404149E-2</v>
      </c>
      <c r="AL35" s="360">
        <f t="shared" si="21"/>
        <v>5.0959999999999998E-2</v>
      </c>
      <c r="AM35" s="360">
        <f t="shared" si="22"/>
        <v>0.6552</v>
      </c>
      <c r="AN35" s="360">
        <f t="shared" si="23"/>
        <v>6.7927685834960044E-3</v>
      </c>
      <c r="AO35" s="360">
        <f t="shared" si="24"/>
        <v>7.3499999999999998E-4</v>
      </c>
      <c r="AP35" s="360">
        <f t="shared" si="25"/>
        <v>0.32999999999999996</v>
      </c>
      <c r="AQ35" s="360">
        <f t="shared" si="26"/>
        <v>1.2539999999999998</v>
      </c>
      <c r="AR35" s="360">
        <f t="shared" si="27"/>
        <v>1.0559999999999998</v>
      </c>
      <c r="AS35" s="360">
        <f t="shared" si="28"/>
        <v>0.33073499999999995</v>
      </c>
      <c r="AT35" s="360">
        <f t="shared" si="29"/>
        <v>2.1143147524010528</v>
      </c>
      <c r="AU35">
        <f t="shared" si="30"/>
        <v>26</v>
      </c>
      <c r="AV35" s="542">
        <f t="shared" si="47"/>
        <v>0.92479579278308799</v>
      </c>
      <c r="AW35" s="551">
        <f t="shared" si="31"/>
        <v>57.242293898617525</v>
      </c>
      <c r="AX35" s="551">
        <f t="shared" si="32"/>
        <v>10.160329156053578</v>
      </c>
      <c r="AY35" s="9"/>
      <c r="AZ35" s="4">
        <f t="shared" si="48"/>
        <v>92.479579278308805</v>
      </c>
      <c r="BA35" s="360">
        <f t="shared" si="33"/>
        <v>0.30695957701318705</v>
      </c>
      <c r="BB35" s="360">
        <f t="shared" si="34"/>
        <v>1.418774961026392</v>
      </c>
      <c r="BC35" s="360">
        <f t="shared" si="35"/>
        <v>1.1448458779723505</v>
      </c>
      <c r="BD35" s="360">
        <f t="shared" si="36"/>
        <v>0.26737708305404151</v>
      </c>
      <c r="BE35" s="360">
        <f t="shared" si="37"/>
        <v>6.7927685834960044E-3</v>
      </c>
    </row>
    <row r="36" spans="1:57" x14ac:dyDescent="0.2">
      <c r="A36" s="24" t="s">
        <v>525</v>
      </c>
      <c r="B36" s="15" t="s">
        <v>111</v>
      </c>
      <c r="C36" s="24" t="s">
        <v>76</v>
      </c>
      <c r="D36" s="17" t="s">
        <v>107</v>
      </c>
      <c r="G36">
        <v>27</v>
      </c>
      <c r="H36" s="548">
        <f t="shared" si="0"/>
        <v>21</v>
      </c>
      <c r="I36" s="4">
        <f t="shared" si="1"/>
        <v>1</v>
      </c>
      <c r="J36" s="360">
        <f t="shared" si="38"/>
        <v>1.35</v>
      </c>
      <c r="K36" s="360">
        <f t="shared" si="2"/>
        <v>1.35</v>
      </c>
      <c r="L36" s="4">
        <f t="shared" si="3"/>
        <v>1.4285714285714284</v>
      </c>
      <c r="M36" s="360">
        <f t="shared" si="4"/>
        <v>0.95302531942425661</v>
      </c>
      <c r="N36" s="4">
        <f t="shared" si="5"/>
        <v>0.31338649253734291</v>
      </c>
      <c r="O36" s="4">
        <f t="shared" si="39"/>
        <v>1.5066932462686715</v>
      </c>
      <c r="P36" s="4">
        <f t="shared" si="40"/>
        <v>1.1933067537313287</v>
      </c>
      <c r="Q36" s="4">
        <f t="shared" si="6"/>
        <v>0</v>
      </c>
      <c r="R36" s="4">
        <f t="shared" si="41"/>
        <v>1.3530278111734209</v>
      </c>
      <c r="S36" s="360">
        <f t="shared" si="7"/>
        <v>7.3227370312349523E-3</v>
      </c>
      <c r="T36" s="360">
        <f t="shared" si="8"/>
        <v>0.3</v>
      </c>
      <c r="U36" s="360">
        <f t="shared" si="9"/>
        <v>0.30750287804821852</v>
      </c>
      <c r="V36" s="4">
        <f t="shared" si="42"/>
        <v>9.0466887913413799E-2</v>
      </c>
      <c r="W36" s="360">
        <f t="shared" si="10"/>
        <v>1.6368515617476351E-5</v>
      </c>
      <c r="X36" s="360">
        <f t="shared" si="43"/>
        <v>1.6368515617476351E-5</v>
      </c>
      <c r="Y36" s="4">
        <f t="shared" si="44"/>
        <v>0.28627990258210068</v>
      </c>
      <c r="Z36" s="360">
        <f t="shared" si="11"/>
        <v>8.1956182622417052E-5</v>
      </c>
      <c r="AA36" s="541">
        <f t="shared" si="45"/>
        <v>8.1956182622417052E-5</v>
      </c>
      <c r="AB36" s="360">
        <f t="shared" si="46"/>
        <v>1.3208665525188874</v>
      </c>
      <c r="AC36" s="360">
        <f t="shared" si="12"/>
        <v>1.0468130697378784E-2</v>
      </c>
      <c r="AD36" s="360">
        <f t="shared" si="13"/>
        <v>0.10082117059768955</v>
      </c>
      <c r="AE36" s="360">
        <f t="shared" si="14"/>
        <v>0.6042329999999998</v>
      </c>
      <c r="AF36" s="360">
        <f t="shared" si="15"/>
        <v>0</v>
      </c>
      <c r="AG36" s="360">
        <f t="shared" si="16"/>
        <v>0.71702348039624353</v>
      </c>
      <c r="AH36" s="360">
        <f t="shared" si="17"/>
        <v>0.29325041900329374</v>
      </c>
      <c r="AI36" s="360">
        <f t="shared" si="18"/>
        <v>2.1498952061401838E-4</v>
      </c>
      <c r="AJ36" s="360">
        <f t="shared" si="19"/>
        <v>5.2920000000000002E-2</v>
      </c>
      <c r="AK36" s="360">
        <f t="shared" si="20"/>
        <v>5.3136725944178148E-2</v>
      </c>
      <c r="AL36" s="360">
        <f t="shared" si="21"/>
        <v>5.2920000000000002E-2</v>
      </c>
      <c r="AM36" s="360">
        <f t="shared" si="22"/>
        <v>0.6804</v>
      </c>
      <c r="AN36" s="360">
        <f t="shared" si="23"/>
        <v>7.3227370312349523E-3</v>
      </c>
      <c r="AO36" s="360">
        <f t="shared" si="24"/>
        <v>7.3499999999999998E-4</v>
      </c>
      <c r="AP36" s="360">
        <f t="shared" si="25"/>
        <v>0.32999999999999996</v>
      </c>
      <c r="AQ36" s="360">
        <f t="shared" si="26"/>
        <v>1.2539999999999998</v>
      </c>
      <c r="AR36" s="360">
        <f t="shared" si="27"/>
        <v>1.0559999999999998</v>
      </c>
      <c r="AS36" s="360">
        <f t="shared" si="28"/>
        <v>0.33073499999999995</v>
      </c>
      <c r="AT36" s="360">
        <f t="shared" si="29"/>
        <v>2.1491391461181149</v>
      </c>
      <c r="AU36">
        <f t="shared" si="30"/>
        <v>27</v>
      </c>
      <c r="AV36" s="542">
        <f t="shared" si="47"/>
        <v>0.92627092226137575</v>
      </c>
      <c r="AW36" s="551">
        <f t="shared" si="31"/>
        <v>58.30437401981218</v>
      </c>
      <c r="AX36" s="551">
        <f t="shared" si="32"/>
        <v>10.551411585878769</v>
      </c>
      <c r="AY36" s="9"/>
      <c r="AZ36" s="4">
        <f t="shared" si="48"/>
        <v>92.627092226137577</v>
      </c>
      <c r="BA36" s="360">
        <f t="shared" si="33"/>
        <v>0.30750287804821852</v>
      </c>
      <c r="BB36" s="360">
        <f t="shared" si="34"/>
        <v>1.4505602063404217</v>
      </c>
      <c r="BC36" s="360">
        <f t="shared" si="35"/>
        <v>1.1660874803962435</v>
      </c>
      <c r="BD36" s="360">
        <f t="shared" si="36"/>
        <v>0.27766872594417813</v>
      </c>
      <c r="BE36" s="360">
        <f t="shared" si="37"/>
        <v>7.3227370312349523E-3</v>
      </c>
    </row>
    <row r="37" spans="1:57" x14ac:dyDescent="0.2">
      <c r="A37" s="23" t="s">
        <v>71</v>
      </c>
      <c r="B37" s="5">
        <f>Rdson1*1000</f>
        <v>6</v>
      </c>
      <c r="C37" s="442" t="s">
        <v>466</v>
      </c>
      <c r="D37" s="440" t="s">
        <v>528</v>
      </c>
      <c r="G37">
        <v>28</v>
      </c>
      <c r="H37" s="548">
        <f t="shared" si="0"/>
        <v>21</v>
      </c>
      <c r="I37" s="4">
        <f t="shared" si="1"/>
        <v>1</v>
      </c>
      <c r="J37" s="360">
        <f t="shared" si="38"/>
        <v>1.4</v>
      </c>
      <c r="K37" s="360">
        <f t="shared" si="2"/>
        <v>1.4</v>
      </c>
      <c r="L37" s="4">
        <f t="shared" si="3"/>
        <v>1.4814814814814814</v>
      </c>
      <c r="M37" s="360">
        <f t="shared" si="4"/>
        <v>0.95304918407481665</v>
      </c>
      <c r="N37" s="4">
        <f t="shared" si="5"/>
        <v>0.31323549849925664</v>
      </c>
      <c r="O37" s="4">
        <f t="shared" si="39"/>
        <v>1.5566177492496283</v>
      </c>
      <c r="P37" s="4">
        <f t="shared" si="40"/>
        <v>1.2433822507503716</v>
      </c>
      <c r="Q37" s="4">
        <f t="shared" si="6"/>
        <v>0</v>
      </c>
      <c r="R37" s="4">
        <f t="shared" si="41"/>
        <v>1.4029170941743752</v>
      </c>
      <c r="S37" s="360">
        <f t="shared" si="7"/>
        <v>7.8727054925066906E-3</v>
      </c>
      <c r="T37" s="360">
        <f t="shared" si="8"/>
        <v>0.3</v>
      </c>
      <c r="U37" s="360">
        <f t="shared" si="9"/>
        <v>0.30806673098411286</v>
      </c>
      <c r="V37" s="4">
        <f t="shared" si="42"/>
        <v>9.0423299689146225E-2</v>
      </c>
      <c r="W37" s="360">
        <f t="shared" si="10"/>
        <v>1.6352746253346304E-5</v>
      </c>
      <c r="X37" s="360">
        <f t="shared" si="43"/>
        <v>1.6352746253346304E-5</v>
      </c>
      <c r="Y37" s="4">
        <f t="shared" si="44"/>
        <v>0.29676401350123421</v>
      </c>
      <c r="Z37" s="360">
        <f t="shared" si="11"/>
        <v>8.8068879709360734E-5</v>
      </c>
      <c r="AA37" s="541">
        <f t="shared" si="45"/>
        <v>8.8068879709360734E-5</v>
      </c>
      <c r="AB37" s="360">
        <f t="shared" si="46"/>
        <v>1.3695871226481751</v>
      </c>
      <c r="AC37" s="360">
        <f t="shared" si="12"/>
        <v>1.1254613319142244E-2</v>
      </c>
      <c r="AD37" s="360">
        <f t="shared" si="13"/>
        <v>0.1045552880272336</v>
      </c>
      <c r="AE37" s="360">
        <f t="shared" si="14"/>
        <v>0.6042329999999998</v>
      </c>
      <c r="AF37" s="360">
        <f t="shared" si="15"/>
        <v>0</v>
      </c>
      <c r="AG37" s="360">
        <f t="shared" si="16"/>
        <v>0.72166731866971356</v>
      </c>
      <c r="AH37" s="360">
        <f t="shared" si="17"/>
        <v>0.30398599737975662</v>
      </c>
      <c r="AI37" s="360">
        <f t="shared" si="18"/>
        <v>2.310187165074135E-4</v>
      </c>
      <c r="AJ37" s="360">
        <f t="shared" si="19"/>
        <v>5.4879999999999991E-2</v>
      </c>
      <c r="AK37" s="360">
        <f t="shared" si="20"/>
        <v>5.5112953999339576E-2</v>
      </c>
      <c r="AL37" s="360">
        <f t="shared" si="21"/>
        <v>5.4879999999999991E-2</v>
      </c>
      <c r="AM37" s="360">
        <f t="shared" si="22"/>
        <v>0.7056</v>
      </c>
      <c r="AN37" s="360">
        <f t="shared" si="23"/>
        <v>7.8727054925066906E-3</v>
      </c>
      <c r="AO37" s="360">
        <f t="shared" si="24"/>
        <v>7.3499999999999998E-4</v>
      </c>
      <c r="AP37" s="360">
        <f t="shared" si="25"/>
        <v>0.32999999999999996</v>
      </c>
      <c r="AQ37" s="360">
        <f t="shared" si="26"/>
        <v>1.2539999999999998</v>
      </c>
      <c r="AR37" s="360">
        <f t="shared" si="27"/>
        <v>1.0559999999999998</v>
      </c>
      <c r="AS37" s="360">
        <f t="shared" si="28"/>
        <v>0.33073499999999995</v>
      </c>
      <c r="AT37" s="360">
        <f t="shared" si="29"/>
        <v>2.1840391307716351</v>
      </c>
      <c r="AU37">
        <f t="shared" si="30"/>
        <v>28</v>
      </c>
      <c r="AV37" s="542">
        <f t="shared" si="47"/>
        <v>0.92764258218360585</v>
      </c>
      <c r="AW37" s="551">
        <f t="shared" si="31"/>
        <v>59.368165933485685</v>
      </c>
      <c r="AX37" s="551">
        <f t="shared" si="32"/>
        <v>10.942516251974904</v>
      </c>
      <c r="AY37" s="9"/>
      <c r="AZ37" s="4">
        <f t="shared" si="48"/>
        <v>92.764258218360581</v>
      </c>
      <c r="BA37" s="360">
        <f t="shared" si="33"/>
        <v>0.30806673098411286</v>
      </c>
      <c r="BB37" s="360">
        <f t="shared" si="34"/>
        <v>1.4823802726690531</v>
      </c>
      <c r="BC37" s="360">
        <f t="shared" si="35"/>
        <v>1.1873633186697137</v>
      </c>
      <c r="BD37" s="360">
        <f t="shared" si="36"/>
        <v>0.28796095399933958</v>
      </c>
      <c r="BE37" s="360">
        <f t="shared" si="37"/>
        <v>7.8727054925066906E-3</v>
      </c>
    </row>
    <row r="38" spans="1:57" x14ac:dyDescent="0.2">
      <c r="A38" s="22" t="s">
        <v>79</v>
      </c>
      <c r="B38" s="5">
        <f>RdsonTopTc*1000000</f>
        <v>4000</v>
      </c>
      <c r="C38" s="440" t="s">
        <v>81</v>
      </c>
      <c r="D38" s="21" t="s">
        <v>109</v>
      </c>
      <c r="G38">
        <v>29</v>
      </c>
      <c r="H38" s="548">
        <f t="shared" si="0"/>
        <v>21</v>
      </c>
      <c r="I38" s="4">
        <f t="shared" si="1"/>
        <v>1</v>
      </c>
      <c r="J38" s="360">
        <f t="shared" si="38"/>
        <v>1.45</v>
      </c>
      <c r="K38" s="360">
        <f t="shared" si="2"/>
        <v>1.45</v>
      </c>
      <c r="L38" s="4">
        <f t="shared" si="3"/>
        <v>1.5343915343915342</v>
      </c>
      <c r="M38" s="360">
        <f t="shared" si="4"/>
        <v>0.95307304866855791</v>
      </c>
      <c r="N38" s="4">
        <f t="shared" si="5"/>
        <v>0.31308449648762071</v>
      </c>
      <c r="O38" s="4">
        <f t="shared" si="39"/>
        <v>1.6065422482438103</v>
      </c>
      <c r="P38" s="4">
        <f t="shared" si="40"/>
        <v>1.2934577517561896</v>
      </c>
      <c r="Q38" s="4">
        <f t="shared" si="6"/>
        <v>0</v>
      </c>
      <c r="R38" s="4">
        <f t="shared" si="41"/>
        <v>1.4528139907876745</v>
      </c>
      <c r="S38" s="360">
        <f t="shared" si="7"/>
        <v>8.4426739673136367E-3</v>
      </c>
      <c r="T38" s="360">
        <f t="shared" si="8"/>
        <v>0.3</v>
      </c>
      <c r="U38" s="360">
        <f t="shared" si="9"/>
        <v>0.30865114124372645</v>
      </c>
      <c r="V38" s="4">
        <f t="shared" si="42"/>
        <v>9.0379709163113137E-2</v>
      </c>
      <c r="W38" s="360">
        <f t="shared" si="10"/>
        <v>1.6336983656817831E-5</v>
      </c>
      <c r="X38" s="360">
        <f t="shared" si="43"/>
        <v>1.6336983656817831E-5</v>
      </c>
      <c r="Y38" s="4">
        <f t="shared" si="44"/>
        <v>0.30724461377672196</v>
      </c>
      <c r="Z38" s="360">
        <f t="shared" si="11"/>
        <v>9.4399252694807044E-5</v>
      </c>
      <c r="AA38" s="541">
        <f t="shared" si="45"/>
        <v>9.4399252694807044E-5</v>
      </c>
      <c r="AB38" s="360">
        <f t="shared" si="46"/>
        <v>1.4183163449088392</v>
      </c>
      <c r="AC38" s="360">
        <f t="shared" si="12"/>
        <v>1.2069727525413416E-2</v>
      </c>
      <c r="AD38" s="360">
        <f t="shared" si="13"/>
        <v>0.10828940545677766</v>
      </c>
      <c r="AE38" s="360">
        <f t="shared" si="14"/>
        <v>0.6042329999999998</v>
      </c>
      <c r="AF38" s="360">
        <f t="shared" si="15"/>
        <v>0</v>
      </c>
      <c r="AG38" s="360">
        <f t="shared" si="16"/>
        <v>0.72634549141633242</v>
      </c>
      <c r="AH38" s="360">
        <f t="shared" si="17"/>
        <v>0.31471771096149009</v>
      </c>
      <c r="AI38" s="360">
        <f t="shared" si="18"/>
        <v>2.4761809398210006E-4</v>
      </c>
      <c r="AJ38" s="360">
        <f t="shared" si="19"/>
        <v>5.6839999999999995E-2</v>
      </c>
      <c r="AK38" s="360">
        <f t="shared" si="20"/>
        <v>5.7089766835788057E-2</v>
      </c>
      <c r="AL38" s="360">
        <f t="shared" si="21"/>
        <v>5.6839999999999995E-2</v>
      </c>
      <c r="AM38" s="360">
        <f t="shared" si="22"/>
        <v>0.73079999999999978</v>
      </c>
      <c r="AN38" s="360">
        <f t="shared" si="23"/>
        <v>8.4426739673136367E-3</v>
      </c>
      <c r="AO38" s="360">
        <f t="shared" si="24"/>
        <v>7.3499999999999998E-4</v>
      </c>
      <c r="AP38" s="360">
        <f t="shared" si="25"/>
        <v>0.32999999999999996</v>
      </c>
      <c r="AQ38" s="360">
        <f t="shared" si="26"/>
        <v>1.2539999999999998</v>
      </c>
      <c r="AR38" s="360">
        <f t="shared" si="27"/>
        <v>1.0559999999999998</v>
      </c>
      <c r="AS38" s="360">
        <f t="shared" si="28"/>
        <v>0.33073499999999995</v>
      </c>
      <c r="AT38" s="360">
        <f t="shared" si="29"/>
        <v>2.2190148096995119</v>
      </c>
      <c r="AU38">
        <f t="shared" si="30"/>
        <v>29</v>
      </c>
      <c r="AV38" s="542">
        <f t="shared" si="47"/>
        <v>0.92892104945572851</v>
      </c>
      <c r="AW38" s="551">
        <f t="shared" si="31"/>
        <v>60.433674570816606</v>
      </c>
      <c r="AX38" s="551">
        <f t="shared" si="32"/>
        <v>11.333643139759943</v>
      </c>
      <c r="AY38" s="9"/>
      <c r="AZ38" s="4">
        <f t="shared" si="48"/>
        <v>92.892104945572854</v>
      </c>
      <c r="BA38" s="360">
        <f t="shared" si="33"/>
        <v>0.30865114124372645</v>
      </c>
      <c r="BB38" s="360">
        <f t="shared" si="34"/>
        <v>1.5142352582521204</v>
      </c>
      <c r="BC38" s="360">
        <f t="shared" si="35"/>
        <v>1.2086734914163322</v>
      </c>
      <c r="BD38" s="360">
        <f t="shared" si="36"/>
        <v>0.29825376683578797</v>
      </c>
      <c r="BE38" s="360">
        <f t="shared" si="37"/>
        <v>8.4426739673136367E-3</v>
      </c>
    </row>
    <row r="39" spans="1:57" x14ac:dyDescent="0.2">
      <c r="A39" s="23" t="s">
        <v>70</v>
      </c>
      <c r="B39" s="5">
        <f>Qg_Q1*1000000000</f>
        <v>8</v>
      </c>
      <c r="C39" s="440" t="s">
        <v>65</v>
      </c>
      <c r="D39" s="21" t="s">
        <v>99</v>
      </c>
      <c r="G39">
        <v>30</v>
      </c>
      <c r="H39" s="548">
        <f t="shared" si="0"/>
        <v>21</v>
      </c>
      <c r="I39" s="4">
        <f t="shared" si="1"/>
        <v>1</v>
      </c>
      <c r="J39" s="360">
        <f t="shared" si="38"/>
        <v>1.5</v>
      </c>
      <c r="K39" s="360">
        <f t="shared" si="2"/>
        <v>1.5</v>
      </c>
      <c r="L39" s="4">
        <f t="shared" si="3"/>
        <v>1.5873015873015872</v>
      </c>
      <c r="M39" s="360">
        <f t="shared" si="4"/>
        <v>0.95309691320548073</v>
      </c>
      <c r="N39" s="4">
        <f t="shared" si="5"/>
        <v>0.312933486502466</v>
      </c>
      <c r="O39" s="4">
        <f t="shared" si="39"/>
        <v>1.656466743251233</v>
      </c>
      <c r="P39" s="4">
        <f t="shared" si="40"/>
        <v>1.343533256748767</v>
      </c>
      <c r="Q39" s="4">
        <f t="shared" si="6"/>
        <v>0</v>
      </c>
      <c r="R39" s="4">
        <f t="shared" si="41"/>
        <v>1.5027177425965759</v>
      </c>
      <c r="S39" s="360">
        <f t="shared" si="7"/>
        <v>9.0326424556581957E-3</v>
      </c>
      <c r="T39" s="360">
        <f t="shared" si="8"/>
        <v>0.3</v>
      </c>
      <c r="U39" s="360">
        <f t="shared" si="9"/>
        <v>0.3092561144483813</v>
      </c>
      <c r="V39" s="4">
        <f t="shared" si="42"/>
        <v>9.0336116335323444E-2</v>
      </c>
      <c r="W39" s="360">
        <f t="shared" si="10"/>
        <v>1.6321227829098183E-5</v>
      </c>
      <c r="X39" s="360">
        <f t="shared" si="43"/>
        <v>1.6321227829098183E-5</v>
      </c>
      <c r="Y39" s="4">
        <f t="shared" si="44"/>
        <v>0.31772153963823685</v>
      </c>
      <c r="Z39" s="360">
        <f t="shared" si="11"/>
        <v>1.009469767500917E-4</v>
      </c>
      <c r="AA39" s="541">
        <f t="shared" si="45"/>
        <v>1.009469767500917E-4</v>
      </c>
      <c r="AB39" s="360">
        <f t="shared" si="46"/>
        <v>1.4670534791356959</v>
      </c>
      <c r="AC39" s="360">
        <f t="shared" si="12"/>
        <v>1.29134754638649E-2</v>
      </c>
      <c r="AD39" s="360">
        <f t="shared" si="13"/>
        <v>0.11202352288632172</v>
      </c>
      <c r="AE39" s="360">
        <f t="shared" si="14"/>
        <v>0.6042329999999998</v>
      </c>
      <c r="AF39" s="360">
        <f t="shared" si="15"/>
        <v>0</v>
      </c>
      <c r="AG39" s="360">
        <f t="shared" si="16"/>
        <v>0.73105809851374992</v>
      </c>
      <c r="AH39" s="360">
        <f t="shared" si="17"/>
        <v>0.32544539214805146</v>
      </c>
      <c r="AI39" s="360">
        <f t="shared" si="18"/>
        <v>2.647867581759975E-4</v>
      </c>
      <c r="AJ39" s="360">
        <f t="shared" si="19"/>
        <v>5.8799999999999998E-2</v>
      </c>
      <c r="AK39" s="360">
        <f t="shared" si="20"/>
        <v>5.9067164069015042E-2</v>
      </c>
      <c r="AL39" s="360">
        <f t="shared" si="21"/>
        <v>5.8799999999999998E-2</v>
      </c>
      <c r="AM39" s="360">
        <f t="shared" si="22"/>
        <v>0.75599999999999978</v>
      </c>
      <c r="AN39" s="360">
        <f t="shared" si="23"/>
        <v>9.0326424556581957E-3</v>
      </c>
      <c r="AO39" s="360">
        <f t="shared" si="24"/>
        <v>7.3499999999999998E-4</v>
      </c>
      <c r="AP39" s="360">
        <f t="shared" si="25"/>
        <v>0.32999999999999996</v>
      </c>
      <c r="AQ39" s="360">
        <f t="shared" si="26"/>
        <v>1.2539999999999998</v>
      </c>
      <c r="AR39" s="360">
        <f t="shared" si="27"/>
        <v>1.0559999999999998</v>
      </c>
      <c r="AS39" s="360">
        <f t="shared" si="28"/>
        <v>0.33073499999999995</v>
      </c>
      <c r="AT39" s="360">
        <f t="shared" si="29"/>
        <v>2.2540662876913835</v>
      </c>
      <c r="AU39">
        <f t="shared" si="30"/>
        <v>30</v>
      </c>
      <c r="AV39" s="542">
        <f t="shared" si="47"/>
        <v>0.93011528321464476</v>
      </c>
      <c r="AW39" s="551">
        <f t="shared" si="31"/>
        <v>61.500904925687493</v>
      </c>
      <c r="AX39" s="551">
        <f t="shared" si="32"/>
        <v>11.724792234622569</v>
      </c>
      <c r="AY39" s="9"/>
      <c r="AZ39" s="4">
        <f t="shared" si="48"/>
        <v>93.011528321464482</v>
      </c>
      <c r="BA39" s="360">
        <f t="shared" si="33"/>
        <v>0.3092561144483813</v>
      </c>
      <c r="BB39" s="360">
        <f t="shared" si="34"/>
        <v>1.5461252625827648</v>
      </c>
      <c r="BC39" s="360">
        <f t="shared" si="35"/>
        <v>1.2300180985137499</v>
      </c>
      <c r="BD39" s="360">
        <f t="shared" si="36"/>
        <v>0.308547164069015</v>
      </c>
      <c r="BE39" s="360">
        <f t="shared" si="37"/>
        <v>9.0326424556581957E-3</v>
      </c>
    </row>
    <row r="40" spans="1:57" x14ac:dyDescent="0.2">
      <c r="A40" s="23" t="s">
        <v>120</v>
      </c>
      <c r="B40" s="5">
        <f>Qgd_Q1*1000000000</f>
        <v>1.4</v>
      </c>
      <c r="C40" s="440" t="s">
        <v>65</v>
      </c>
      <c r="D40" s="21" t="s">
        <v>121</v>
      </c>
      <c r="G40">
        <v>31</v>
      </c>
      <c r="H40" s="548">
        <f t="shared" si="0"/>
        <v>21</v>
      </c>
      <c r="I40" s="4">
        <f t="shared" si="1"/>
        <v>1</v>
      </c>
      <c r="J40" s="360">
        <f t="shared" si="38"/>
        <v>1.55</v>
      </c>
      <c r="K40" s="360">
        <f t="shared" si="2"/>
        <v>1.55</v>
      </c>
      <c r="L40" s="4">
        <f t="shared" si="3"/>
        <v>1.64021164021164</v>
      </c>
      <c r="M40" s="360">
        <f t="shared" si="4"/>
        <v>0.95312077768558534</v>
      </c>
      <c r="N40" s="4">
        <f t="shared" si="5"/>
        <v>0.3127824685438198</v>
      </c>
      <c r="O40" s="4">
        <f t="shared" si="39"/>
        <v>1.7063912342719099</v>
      </c>
      <c r="P40" s="4">
        <f t="shared" si="40"/>
        <v>1.3936087657280902</v>
      </c>
      <c r="Q40" s="4">
        <f t="shared" si="6"/>
        <v>0</v>
      </c>
      <c r="R40" s="4">
        <f t="shared" si="41"/>
        <v>1.5526276885930179</v>
      </c>
      <c r="S40" s="360">
        <f t="shared" si="7"/>
        <v>9.6426109575427892E-3</v>
      </c>
      <c r="T40" s="360">
        <f t="shared" si="8"/>
        <v>0.3</v>
      </c>
      <c r="U40" s="360">
        <f t="shared" si="9"/>
        <v>0.3098816564180002</v>
      </c>
      <c r="V40" s="4">
        <f t="shared" si="42"/>
        <v>9.0292521205785015E-2</v>
      </c>
      <c r="W40" s="360">
        <f t="shared" si="10"/>
        <v>1.6305478771394272E-5</v>
      </c>
      <c r="X40" s="360">
        <f t="shared" si="43"/>
        <v>1.6305478771394272E-5</v>
      </c>
      <c r="Y40" s="4">
        <f t="shared" si="44"/>
        <v>0.3281946480580219</v>
      </c>
      <c r="Z40" s="360">
        <f t="shared" si="11"/>
        <v>1.0771172701392885E-4</v>
      </c>
      <c r="AA40" s="541">
        <f t="shared" si="45"/>
        <v>1.0771172701392885E-4</v>
      </c>
      <c r="AB40" s="360">
        <f t="shared" si="46"/>
        <v>1.5157978802245313</v>
      </c>
      <c r="AC40" s="360">
        <f t="shared" si="12"/>
        <v>1.3785859282159096E-2</v>
      </c>
      <c r="AD40" s="360">
        <f t="shared" si="13"/>
        <v>0.11575764031586579</v>
      </c>
      <c r="AE40" s="360">
        <f t="shared" si="14"/>
        <v>0.6042329999999998</v>
      </c>
      <c r="AF40" s="360">
        <f t="shared" si="15"/>
        <v>0</v>
      </c>
      <c r="AG40" s="360">
        <f t="shared" si="16"/>
        <v>0.73580524110060241</v>
      </c>
      <c r="AH40" s="360">
        <f t="shared" si="17"/>
        <v>0.33616889459394483</v>
      </c>
      <c r="AI40" s="360">
        <f t="shared" si="18"/>
        <v>2.8252381423128701E-4</v>
      </c>
      <c r="AJ40" s="360">
        <f t="shared" si="19"/>
        <v>6.0760000000000002E-2</v>
      </c>
      <c r="AK40" s="360">
        <f t="shared" si="20"/>
        <v>6.1045145313740029E-2</v>
      </c>
      <c r="AL40" s="360">
        <f t="shared" si="21"/>
        <v>6.0760000000000002E-2</v>
      </c>
      <c r="AM40" s="360">
        <f t="shared" si="22"/>
        <v>0.78120000000000012</v>
      </c>
      <c r="AN40" s="360">
        <f t="shared" si="23"/>
        <v>9.6426109575427892E-3</v>
      </c>
      <c r="AO40" s="360">
        <f t="shared" si="24"/>
        <v>7.3499999999999998E-4</v>
      </c>
      <c r="AP40" s="360">
        <f t="shared" si="25"/>
        <v>0.32999999999999996</v>
      </c>
      <c r="AQ40" s="360">
        <f t="shared" si="26"/>
        <v>1.2539999999999998</v>
      </c>
      <c r="AR40" s="360">
        <f t="shared" si="27"/>
        <v>1.0559999999999998</v>
      </c>
      <c r="AS40" s="360">
        <f t="shared" si="28"/>
        <v>0.33073499999999995</v>
      </c>
      <c r="AT40" s="360">
        <f t="shared" si="29"/>
        <v>2.2891936709956706</v>
      </c>
      <c r="AU40">
        <f t="shared" si="30"/>
        <v>31</v>
      </c>
      <c r="AV40" s="542">
        <f t="shared" si="47"/>
        <v>0.9312331294767825</v>
      </c>
      <c r="AW40" s="551">
        <f t="shared" si="31"/>
        <v>62.569862055030121</v>
      </c>
      <c r="AX40" s="551">
        <f t="shared" si="32"/>
        <v>12.115963521922122</v>
      </c>
      <c r="AY40" s="9"/>
      <c r="AZ40" s="4">
        <f t="shared" si="48"/>
        <v>93.123312947678244</v>
      </c>
      <c r="BA40" s="360">
        <f t="shared" si="33"/>
        <v>0.3098816564180002</v>
      </c>
      <c r="BB40" s="360">
        <f t="shared" si="34"/>
        <v>1.5780503864143425</v>
      </c>
      <c r="BC40" s="360">
        <f t="shared" si="35"/>
        <v>1.2513972411006025</v>
      </c>
      <c r="BD40" s="360">
        <f t="shared" si="36"/>
        <v>0.31884114531374008</v>
      </c>
      <c r="BE40" s="360">
        <f t="shared" si="37"/>
        <v>9.6426109575427892E-3</v>
      </c>
    </row>
    <row r="41" spans="1:57" x14ac:dyDescent="0.2">
      <c r="A41" s="23" t="s">
        <v>124</v>
      </c>
      <c r="B41" s="5">
        <f>Qgs_Q1*1000000000</f>
        <v>3.8000000000000003</v>
      </c>
      <c r="C41" s="440" t="s">
        <v>65</v>
      </c>
      <c r="D41" s="21"/>
      <c r="G41">
        <v>32</v>
      </c>
      <c r="H41" s="548">
        <f t="shared" ref="H41:H72" si="49">Vin</f>
        <v>21</v>
      </c>
      <c r="I41" s="4">
        <f t="shared" ref="I41:I72" si="50">MODE</f>
        <v>1</v>
      </c>
      <c r="J41" s="360">
        <f t="shared" si="38"/>
        <v>1.6</v>
      </c>
      <c r="K41" s="360">
        <f t="shared" ref="K41:K72" si="51">Iout*G41/100/Number_of_Phases</f>
        <v>1.6</v>
      </c>
      <c r="L41" s="4">
        <f t="shared" ref="L41:L72" si="52">Vout*K41/(Vin*Efficiency)</f>
        <v>1.693121693121693</v>
      </c>
      <c r="M41" s="360">
        <f t="shared" ref="M41:M72" si="53">(Vout+(Rdson2+Rs+Rdcr)*K41)/(Vin+(Rs+Rdson2-Rdson1)*K41)</f>
        <v>0.95314464210887195</v>
      </c>
      <c r="N41" s="4">
        <f t="shared" ref="N41:N72" si="54">(Vin-(Rdson1+Rdcr)*K41-Vout)*M41/(Fsw*Lf)</f>
        <v>0.31263144261171055</v>
      </c>
      <c r="O41" s="4">
        <f t="shared" si="39"/>
        <v>1.7563157213058553</v>
      </c>
      <c r="P41" s="4">
        <f t="shared" si="40"/>
        <v>1.4436842786941448</v>
      </c>
      <c r="Q41" s="4">
        <f t="shared" ref="Q41:Q72" si="55">IF(MIN(Vin, -P41/(Coss_Q1+Coss_Q2)*0.00000002)&lt;0, 0, MIN(Vin, -P41/(Coss_Q1+Coss_Q2)*0.00000002))</f>
        <v>0</v>
      </c>
      <c r="R41" s="4">
        <f t="shared" si="41"/>
        <v>1.6025432500380317</v>
      </c>
      <c r="S41" s="360">
        <f t="shared" ref="S41:S72" si="56">R41^2*Rdcr</f>
        <v>1.0272579472969829E-2</v>
      </c>
      <c r="T41" s="360">
        <f t="shared" ref="T41:T72" si="57">Core_Loss_Ch1</f>
        <v>0.3</v>
      </c>
      <c r="U41" s="360">
        <f t="shared" ref="U41:U72" si="58">(T41+S41*(1+Ltc*(Ta-25)))/(1-S41*Ltc*ThetaCa)</f>
        <v>0.31052777317124708</v>
      </c>
      <c r="V41" s="4">
        <f t="shared" si="42"/>
        <v>9.0248923774506065E-2</v>
      </c>
      <c r="W41" s="360">
        <f t="shared" si="10"/>
        <v>1.6289736484913212E-5</v>
      </c>
      <c r="X41" s="360">
        <f t="shared" si="43"/>
        <v>1.6289736484913212E-5</v>
      </c>
      <c r="Y41" s="4">
        <f t="shared" si="44"/>
        <v>0.33866381352664604</v>
      </c>
      <c r="Z41" s="360">
        <f t="shared" si="11"/>
        <v>1.1469317859241087E-4</v>
      </c>
      <c r="AA41" s="541">
        <f t="shared" si="45"/>
        <v>1.1469317859241087E-4</v>
      </c>
      <c r="AB41" s="360">
        <f t="shared" si="46"/>
        <v>1.5645489833574062</v>
      </c>
      <c r="AC41" s="360">
        <f t="shared" ref="AC41:AC72" si="59">Rdson1*AB41^2</f>
        <v>1.468688112794816E-2</v>
      </c>
      <c r="AD41" s="360">
        <f t="shared" ref="AD41:AD72" si="60">(Vin*K41/2)*Fsw*(Tr_buck+Tf_buck)</f>
        <v>0.11949175774540984</v>
      </c>
      <c r="AE41" s="360">
        <f t="shared" ref="AE41:AE72" si="61">(0.5*Coss_Q1*(Vin-Q41)^2-0.5*Coss_Q2*(Vin-Q41)^2+(Qoss_Q2*(Vin-Q41)/Vin)*Vin)*Fsw</f>
        <v>0.6042329999999998</v>
      </c>
      <c r="AF41" s="360">
        <f t="shared" ref="AF41:AF72" si="62">IF(K41&gt;N41/2,0,ABS(K41-N41/2)*Vsd_Q1*Deadtime*Fsw)</f>
        <v>0</v>
      </c>
      <c r="AG41" s="360">
        <f t="shared" ref="AG41:AG72" si="63">(AF41+AE41+AD41+AC41*(1+RdsonTopTc*Ta-RdsonTopTc*25))/(1-AC41*RdsonTopTc*ThetaJA_Q1)</f>
        <v>0.74058702158353751</v>
      </c>
      <c r="AH41" s="360">
        <f t="shared" ref="AH41:AH72" si="64">SQRT((1-M41))*SQRT(K41^2+(N41^2)/12)</f>
        <v>0.34688808990474757</v>
      </c>
      <c r="AI41" s="360">
        <f t="shared" ref="AI41:AI72" si="65">Rdson2*AH41^2</f>
        <v>3.008283672944106E-4</v>
      </c>
      <c r="AJ41" s="360">
        <f t="shared" ref="AJ41:AJ72" si="66">IF(K41&lt;N41/2,Deadtime*Fsw*IF(VfdSky_Q2&gt;0,0,Vsd_Q2)*(K41+N41/2),2*Deadtime*Fsw*IF(VfdSky_Q2&gt;0,0,Vsd_Q2)*K41)</f>
        <v>6.2719999999999998E-2</v>
      </c>
      <c r="AK41" s="360">
        <f t="shared" ref="AK41:AK72" si="67">(AJ41+AI41*(1+RdsonBotTc*Ta-RdsonBotTc*25))/(1-AI41*RdsonBotTc*ThetaJA_Q2)</f>
        <v>6.3023710183909398E-2</v>
      </c>
      <c r="AL41" s="360">
        <f t="shared" ref="AL41:AL72" si="68">2*Deadtime*Fsw*IF(VfdSky_Q2&gt;0,VfdSky_Q2,Vsd_Q2)*K41</f>
        <v>6.2719999999999998E-2</v>
      </c>
      <c r="AM41" s="360">
        <f t="shared" ref="AM41:AM72" si="69">IF(QrrSky_Q2&gt;0,QrrSky_Q2,Qrr_Q2*K41/(Iout/Number_of_Phases))*Fsw*Vin</f>
        <v>0.80639999999999989</v>
      </c>
      <c r="AN41" s="360">
        <f t="shared" ref="AN41:AN72" si="70">CHOOSE(SENSING_TYPE, Rs*R41^2, 0)</f>
        <v>1.0272579472969829E-2</v>
      </c>
      <c r="AO41" s="360">
        <f t="shared" ref="AO41:AO72" si="71">Iq*Vin</f>
        <v>7.3499999999999998E-4</v>
      </c>
      <c r="AP41" s="360">
        <f t="shared" ref="AP41:AP72" si="72">IF(Ext_VCC=1,  (Qg_Q1+Qg_Q2)*Fsw*VCC, (Qg_Q1+Qg_Q2)*Fsw*Vin)</f>
        <v>0.32999999999999996</v>
      </c>
      <c r="AQ41" s="360">
        <f t="shared" si="26"/>
        <v>1.2539999999999998</v>
      </c>
      <c r="AR41" s="360">
        <f t="shared" ref="AR41:AR72" si="73">(Qg_Q1+Qg_Q2)*Fsw*(Vin-VCC)</f>
        <v>1.0559999999999998</v>
      </c>
      <c r="AS41" s="360">
        <f t="shared" ref="AS41:AS74" si="74">SUM(AO41:AP41)</f>
        <v>0.33073499999999995</v>
      </c>
      <c r="AT41" s="360">
        <f t="shared" ref="AT41:AT72" si="75" xml:space="preserve"> SUM(U41,X41,AA41,AG41,AK41,AL41,AM41,AS41,AN41)</f>
        <v>2.3243970673267409</v>
      </c>
      <c r="AU41">
        <f t="shared" ref="AU41:AU72" si="76">Vout*K41</f>
        <v>32</v>
      </c>
      <c r="AV41" s="542">
        <f t="shared" si="47"/>
        <v>0.93228148879738582</v>
      </c>
      <c r="AW41" s="551">
        <f t="shared" ref="AW41:AW72" si="77">ThetaJA_Q1*BC41</f>
        <v>63.640551079176873</v>
      </c>
      <c r="AX41" s="551">
        <f t="shared" ref="AX41:AX72" si="78">ThetaJA_Q2*BD41</f>
        <v>12.507156986988555</v>
      </c>
      <c r="AY41" s="9"/>
      <c r="AZ41" s="4">
        <f t="shared" si="48"/>
        <v>93.228148879738583</v>
      </c>
      <c r="BA41" s="360">
        <f t="shared" ref="BA41:BA72" si="79">U41</f>
        <v>0.31052777317124708</v>
      </c>
      <c r="BB41" s="360">
        <f t="shared" ref="BB41:BB73" si="80">AG41+AK41+AM41</f>
        <v>1.6100107317674468</v>
      </c>
      <c r="BC41" s="360">
        <f t="shared" ref="BC41:BC73" si="81">AG41+AM41*0.66</f>
        <v>1.2728110215835375</v>
      </c>
      <c r="BD41" s="360">
        <f t="shared" ref="BD41:BD73" si="82">AK41+AM41*0.33</f>
        <v>0.32913571018390936</v>
      </c>
      <c r="BE41" s="360">
        <f t="shared" ref="BE41:BE73" si="83">AN41</f>
        <v>1.0272579472969829E-2</v>
      </c>
    </row>
    <row r="42" spans="1:57" x14ac:dyDescent="0.2">
      <c r="A42" s="23" t="s">
        <v>90</v>
      </c>
      <c r="B42" s="5">
        <f>Rgate1</f>
        <v>0.5</v>
      </c>
      <c r="C42" s="444" t="s">
        <v>116</v>
      </c>
      <c r="D42" s="21" t="s">
        <v>100</v>
      </c>
      <c r="G42">
        <v>33</v>
      </c>
      <c r="H42" s="548">
        <f t="shared" si="49"/>
        <v>21</v>
      </c>
      <c r="I42" s="4">
        <f t="shared" si="50"/>
        <v>1</v>
      </c>
      <c r="J42" s="360">
        <f t="shared" ref="J42:J73" si="84">Iout*G42/100</f>
        <v>1.65</v>
      </c>
      <c r="K42" s="360">
        <f t="shared" si="51"/>
        <v>1.65</v>
      </c>
      <c r="L42" s="4">
        <f t="shared" si="52"/>
        <v>1.7460317460317458</v>
      </c>
      <c r="M42" s="360">
        <f t="shared" si="53"/>
        <v>0.9531685064753409</v>
      </c>
      <c r="N42" s="4">
        <f t="shared" si="54"/>
        <v>0.31248040870616572</v>
      </c>
      <c r="O42" s="4">
        <f t="shared" si="39"/>
        <v>1.8062402043530827</v>
      </c>
      <c r="P42" s="4">
        <f t="shared" si="40"/>
        <v>1.4937597956469171</v>
      </c>
      <c r="Q42" s="4">
        <f t="shared" si="55"/>
        <v>0</v>
      </c>
      <c r="R42" s="4">
        <f t="shared" si="41"/>
        <v>1.652463918058555</v>
      </c>
      <c r="S42" s="360">
        <f t="shared" si="56"/>
        <v>1.0922548001941722E-2</v>
      </c>
      <c r="T42" s="360">
        <f t="shared" si="57"/>
        <v>0.3</v>
      </c>
      <c r="U42" s="360">
        <f t="shared" si="58"/>
        <v>0.31119447092567165</v>
      </c>
      <c r="V42" s="4">
        <f t="shared" si="42"/>
        <v>9.0205324041494533E-2</v>
      </c>
      <c r="W42" s="360">
        <f t="shared" si="10"/>
        <v>1.6274000970862066E-5</v>
      </c>
      <c r="X42" s="360">
        <f t="shared" si="43"/>
        <v>1.6274000970862066E-5</v>
      </c>
      <c r="Y42" s="4">
        <f t="shared" si="44"/>
        <v>0.34912892541152873</v>
      </c>
      <c r="Z42" s="360">
        <f t="shared" si="11"/>
        <v>1.2189100655900879E-4</v>
      </c>
      <c r="AA42" s="541">
        <f t="shared" si="45"/>
        <v>1.2189100655900879E-4</v>
      </c>
      <c r="AB42" s="360">
        <f t="shared" si="46"/>
        <v>1.6133062918984116</v>
      </c>
      <c r="AC42" s="360">
        <f t="shared" si="59"/>
        <v>1.5616543148874017E-2</v>
      </c>
      <c r="AD42" s="360">
        <f t="shared" si="60"/>
        <v>0.1232258751749539</v>
      </c>
      <c r="AE42" s="360">
        <f t="shared" si="61"/>
        <v>0.6042329999999998</v>
      </c>
      <c r="AF42" s="360">
        <f t="shared" si="62"/>
        <v>0</v>
      </c>
      <c r="AG42" s="360">
        <f t="shared" si="63"/>
        <v>0.7454035436443569</v>
      </c>
      <c r="AH42" s="360">
        <f t="shared" si="64"/>
        <v>0.35760286493039728</v>
      </c>
      <c r="AI42" s="360">
        <f t="shared" si="65"/>
        <v>3.1969952251606991E-4</v>
      </c>
      <c r="AJ42" s="360">
        <f t="shared" si="66"/>
        <v>6.4679999999999988E-2</v>
      </c>
      <c r="AK42" s="360">
        <f t="shared" si="67"/>
        <v>6.5002858292695323E-2</v>
      </c>
      <c r="AL42" s="360">
        <f t="shared" si="68"/>
        <v>6.4679999999999988E-2</v>
      </c>
      <c r="AM42" s="360">
        <f t="shared" si="69"/>
        <v>0.83159999999999989</v>
      </c>
      <c r="AN42" s="360">
        <f t="shared" si="70"/>
        <v>1.0922548001941722E-2</v>
      </c>
      <c r="AO42" s="360">
        <f t="shared" si="71"/>
        <v>7.3499999999999998E-4</v>
      </c>
      <c r="AP42" s="360">
        <f t="shared" si="72"/>
        <v>0.32999999999999996</v>
      </c>
      <c r="AQ42" s="360">
        <f t="shared" si="26"/>
        <v>1.2539999999999998</v>
      </c>
      <c r="AR42" s="360">
        <f t="shared" si="73"/>
        <v>1.0559999999999998</v>
      </c>
      <c r="AS42" s="360">
        <f t="shared" si="74"/>
        <v>0.33073499999999995</v>
      </c>
      <c r="AT42" s="360">
        <f t="shared" si="75"/>
        <v>2.3596765858721955</v>
      </c>
      <c r="AU42">
        <f t="shared" si="76"/>
        <v>33</v>
      </c>
      <c r="AV42" s="542">
        <f t="shared" si="47"/>
        <v>0.93326645451234158</v>
      </c>
      <c r="AW42" s="551">
        <f t="shared" si="77"/>
        <v>64.712977182217841</v>
      </c>
      <c r="AX42" s="551">
        <f t="shared" si="78"/>
        <v>12.898372615122423</v>
      </c>
      <c r="AY42" s="9"/>
      <c r="AZ42" s="4">
        <f t="shared" si="48"/>
        <v>93.326645451234157</v>
      </c>
      <c r="BA42" s="360">
        <f t="shared" si="79"/>
        <v>0.31119447092567165</v>
      </c>
      <c r="BB42" s="360">
        <f t="shared" si="80"/>
        <v>1.6420064019370522</v>
      </c>
      <c r="BC42" s="360">
        <f t="shared" si="81"/>
        <v>1.2942595436443569</v>
      </c>
      <c r="BD42" s="360">
        <f t="shared" si="82"/>
        <v>0.33943085829269531</v>
      </c>
      <c r="BE42" s="360">
        <f t="shared" si="83"/>
        <v>1.0922548001941722E-2</v>
      </c>
    </row>
    <row r="43" spans="1:57" x14ac:dyDescent="0.2">
      <c r="A43" s="23" t="s">
        <v>69</v>
      </c>
      <c r="B43" s="5">
        <f>Gfs_Q1</f>
        <v>64</v>
      </c>
      <c r="C43" s="440" t="s">
        <v>66</v>
      </c>
      <c r="D43" s="21" t="s">
        <v>101</v>
      </c>
      <c r="G43">
        <v>34</v>
      </c>
      <c r="H43" s="548">
        <f t="shared" si="49"/>
        <v>21</v>
      </c>
      <c r="I43" s="4">
        <f t="shared" si="50"/>
        <v>1</v>
      </c>
      <c r="J43" s="360">
        <f t="shared" si="84"/>
        <v>1.7</v>
      </c>
      <c r="K43" s="360">
        <f t="shared" si="51"/>
        <v>1.7</v>
      </c>
      <c r="L43" s="4">
        <f t="shared" si="52"/>
        <v>1.7989417989417988</v>
      </c>
      <c r="M43" s="360">
        <f t="shared" si="53"/>
        <v>0.95319237078499197</v>
      </c>
      <c r="N43" s="4">
        <f t="shared" si="54"/>
        <v>0.31232936682721585</v>
      </c>
      <c r="O43" s="4">
        <f t="shared" si="39"/>
        <v>1.8561646834136079</v>
      </c>
      <c r="P43" s="4">
        <f t="shared" si="40"/>
        <v>1.5438353165863921</v>
      </c>
      <c r="Q43" s="4">
        <f t="shared" si="55"/>
        <v>0</v>
      </c>
      <c r="R43" s="4">
        <f t="shared" si="41"/>
        <v>1.7023892434209116</v>
      </c>
      <c r="S43" s="360">
        <f t="shared" si="56"/>
        <v>1.1592516544460895E-2</v>
      </c>
      <c r="T43" s="360">
        <f t="shared" si="57"/>
        <v>0.3</v>
      </c>
      <c r="U43" s="360">
        <f t="shared" si="58"/>
        <v>0.31188175609785929</v>
      </c>
      <c r="V43" s="4">
        <f t="shared" si="42"/>
        <v>9.0161722006759232E-2</v>
      </c>
      <c r="W43" s="360">
        <f t="shared" si="10"/>
        <v>1.6258272230448266E-5</v>
      </c>
      <c r="X43" s="360">
        <f t="shared" si="43"/>
        <v>1.6258272230448266E-5</v>
      </c>
      <c r="Y43" s="4">
        <f t="shared" si="44"/>
        <v>0.35958988577902801</v>
      </c>
      <c r="Z43" s="360">
        <f t="shared" si="11"/>
        <v>1.2930488595457441E-4</v>
      </c>
      <c r="AA43" s="541">
        <f t="shared" si="45"/>
        <v>1.2930488595457441E-4</v>
      </c>
      <c r="AB43" s="360">
        <f t="shared" si="46"/>
        <v>1.662069367413626</v>
      </c>
      <c r="AC43" s="360">
        <f t="shared" si="59"/>
        <v>1.6574847492568386E-2</v>
      </c>
      <c r="AD43" s="360">
        <f t="shared" si="60"/>
        <v>0.12695999260449792</v>
      </c>
      <c r="AE43" s="360">
        <f t="shared" si="61"/>
        <v>0.6042329999999998</v>
      </c>
      <c r="AF43" s="360">
        <f t="shared" si="62"/>
        <v>0</v>
      </c>
      <c r="AG43" s="360">
        <f t="shared" si="63"/>
        <v>0.75025491224727603</v>
      </c>
      <c r="AH43" s="360">
        <f t="shared" si="64"/>
        <v>0.36831311953349277</v>
      </c>
      <c r="AI43" s="360">
        <f t="shared" si="65"/>
        <v>3.391363850512323E-4</v>
      </c>
      <c r="AJ43" s="360">
        <f t="shared" si="66"/>
        <v>6.6639999999999991E-2</v>
      </c>
      <c r="AK43" s="360">
        <f t="shared" si="67"/>
        <v>6.6982589252494659E-2</v>
      </c>
      <c r="AL43" s="360">
        <f t="shared" si="68"/>
        <v>6.6639999999999991E-2</v>
      </c>
      <c r="AM43" s="360">
        <f t="shared" si="69"/>
        <v>0.8567999999999999</v>
      </c>
      <c r="AN43" s="360">
        <f t="shared" si="70"/>
        <v>1.1592516544460895E-2</v>
      </c>
      <c r="AO43" s="360">
        <f t="shared" si="71"/>
        <v>7.3499999999999998E-4</v>
      </c>
      <c r="AP43" s="360">
        <f t="shared" si="72"/>
        <v>0.32999999999999996</v>
      </c>
      <c r="AQ43" s="360">
        <f t="shared" si="26"/>
        <v>1.2539999999999998</v>
      </c>
      <c r="AR43" s="360">
        <f t="shared" si="73"/>
        <v>1.0559999999999998</v>
      </c>
      <c r="AS43" s="360">
        <f t="shared" si="74"/>
        <v>0.33073499999999995</v>
      </c>
      <c r="AT43" s="360">
        <f t="shared" si="75"/>
        <v>2.3950323373002753</v>
      </c>
      <c r="AU43">
        <f t="shared" si="76"/>
        <v>34</v>
      </c>
      <c r="AV43" s="542">
        <f t="shared" si="47"/>
        <v>0.93419342741328804</v>
      </c>
      <c r="AW43" s="551">
        <f t="shared" si="77"/>
        <v>65.787145612363801</v>
      </c>
      <c r="AX43" s="551">
        <f t="shared" si="78"/>
        <v>13.289610391594797</v>
      </c>
      <c r="AY43" s="9"/>
      <c r="AZ43" s="4">
        <f t="shared" si="48"/>
        <v>93.419342741328805</v>
      </c>
      <c r="BA43" s="360">
        <f t="shared" si="79"/>
        <v>0.31188175609785929</v>
      </c>
      <c r="BB43" s="360">
        <f t="shared" si="80"/>
        <v>1.6740375014997706</v>
      </c>
      <c r="BC43" s="360">
        <f t="shared" si="81"/>
        <v>1.3157429122472761</v>
      </c>
      <c r="BD43" s="360">
        <f t="shared" si="82"/>
        <v>0.34972658925249467</v>
      </c>
      <c r="BE43" s="360">
        <f t="shared" si="83"/>
        <v>1.1592516544460895E-2</v>
      </c>
    </row>
    <row r="44" spans="1:57" x14ac:dyDescent="0.2">
      <c r="A44" s="23" t="s">
        <v>92</v>
      </c>
      <c r="B44" s="5">
        <f>Vth_Q1</f>
        <v>2.9</v>
      </c>
      <c r="C44" s="440" t="s">
        <v>0</v>
      </c>
      <c r="D44" s="21" t="s">
        <v>102</v>
      </c>
      <c r="G44">
        <v>35</v>
      </c>
      <c r="H44" s="548">
        <f t="shared" si="49"/>
        <v>21</v>
      </c>
      <c r="I44" s="4">
        <f t="shared" si="50"/>
        <v>1</v>
      </c>
      <c r="J44" s="360">
        <f t="shared" si="84"/>
        <v>1.75</v>
      </c>
      <c r="K44" s="360">
        <f t="shared" si="51"/>
        <v>1.75</v>
      </c>
      <c r="L44" s="4">
        <f t="shared" si="52"/>
        <v>1.8518518518518516</v>
      </c>
      <c r="M44" s="360">
        <f t="shared" si="53"/>
        <v>0.95321623503782571</v>
      </c>
      <c r="N44" s="4">
        <f t="shared" si="54"/>
        <v>0.31217831697488846</v>
      </c>
      <c r="O44" s="4">
        <f t="shared" si="39"/>
        <v>1.9060891584874442</v>
      </c>
      <c r="P44" s="4">
        <f t="shared" si="40"/>
        <v>1.5939108415125558</v>
      </c>
      <c r="Q44" s="4">
        <f t="shared" si="55"/>
        <v>0</v>
      </c>
      <c r="R44" s="4">
        <f t="shared" si="41"/>
        <v>1.7523188280482636</v>
      </c>
      <c r="S44" s="360">
        <f t="shared" si="56"/>
        <v>1.2282485100529761E-2</v>
      </c>
      <c r="T44" s="360">
        <f t="shared" si="57"/>
        <v>0.3</v>
      </c>
      <c r="U44" s="360">
        <f t="shared" si="58"/>
        <v>0.31258963530358547</v>
      </c>
      <c r="V44" s="4">
        <f t="shared" si="42"/>
        <v>9.0118117670308084E-2</v>
      </c>
      <c r="W44" s="360">
        <f t="shared" si="10"/>
        <v>1.6242550264878989E-5</v>
      </c>
      <c r="X44" s="360">
        <f t="shared" si="43"/>
        <v>1.6242550264878989E-5</v>
      </c>
      <c r="Y44" s="4">
        <f t="shared" si="44"/>
        <v>0.37004660758793223</v>
      </c>
      <c r="Z44" s="360">
        <f t="shared" si="11"/>
        <v>1.369344917873371E-4</v>
      </c>
      <c r="AA44" s="541">
        <f t="shared" si="45"/>
        <v>1.369344917873371E-4</v>
      </c>
      <c r="AB44" s="360">
        <f t="shared" si="46"/>
        <v>1.7108378213930133</v>
      </c>
      <c r="AC44" s="360">
        <f t="shared" si="59"/>
        <v>1.7561796306652753E-2</v>
      </c>
      <c r="AD44" s="360">
        <f t="shared" si="60"/>
        <v>0.13069411003404199</v>
      </c>
      <c r="AE44" s="360">
        <f t="shared" si="61"/>
        <v>0.6042329999999998</v>
      </c>
      <c r="AF44" s="360">
        <f t="shared" si="62"/>
        <v>0</v>
      </c>
      <c r="AG44" s="360">
        <f t="shared" si="63"/>
        <v>0.7551412336463047</v>
      </c>
      <c r="AH44" s="360">
        <f t="shared" si="64"/>
        <v>0.37901876473816964</v>
      </c>
      <c r="AI44" s="360">
        <f t="shared" si="65"/>
        <v>3.5913806005912001E-4</v>
      </c>
      <c r="AJ44" s="360">
        <f t="shared" si="66"/>
        <v>6.8599999999999994E-2</v>
      </c>
      <c r="AK44" s="360">
        <f t="shared" si="67"/>
        <v>6.896290267492769E-2</v>
      </c>
      <c r="AL44" s="360">
        <f t="shared" si="68"/>
        <v>6.8599999999999994E-2</v>
      </c>
      <c r="AM44" s="360">
        <f t="shared" si="69"/>
        <v>0.8819999999999999</v>
      </c>
      <c r="AN44" s="360">
        <f t="shared" si="70"/>
        <v>1.2282485100529761E-2</v>
      </c>
      <c r="AO44" s="360">
        <f t="shared" si="71"/>
        <v>7.3499999999999998E-4</v>
      </c>
      <c r="AP44" s="360">
        <f t="shared" si="72"/>
        <v>0.32999999999999996</v>
      </c>
      <c r="AQ44" s="360">
        <f t="shared" si="26"/>
        <v>1.2539999999999998</v>
      </c>
      <c r="AR44" s="360">
        <f t="shared" si="73"/>
        <v>1.0559999999999998</v>
      </c>
      <c r="AS44" s="360">
        <f t="shared" si="74"/>
        <v>0.33073499999999995</v>
      </c>
      <c r="AT44" s="360">
        <f t="shared" si="75"/>
        <v>2.4304644337673995</v>
      </c>
      <c r="AU44">
        <f t="shared" si="76"/>
        <v>35</v>
      </c>
      <c r="AV44" s="542">
        <f t="shared" si="47"/>
        <v>0.93506721141363169</v>
      </c>
      <c r="AW44" s="551">
        <f t="shared" si="77"/>
        <v>66.863061682315234</v>
      </c>
      <c r="AX44" s="551">
        <f t="shared" si="78"/>
        <v>13.68087030164725</v>
      </c>
      <c r="AY44" s="9"/>
      <c r="AZ44" s="4">
        <f t="shared" si="48"/>
        <v>93.506721141363172</v>
      </c>
      <c r="BA44" s="360">
        <f t="shared" si="79"/>
        <v>0.31258963530358547</v>
      </c>
      <c r="BB44" s="360">
        <f t="shared" si="80"/>
        <v>1.7061041363212324</v>
      </c>
      <c r="BC44" s="360">
        <f t="shared" si="81"/>
        <v>1.3372612336463048</v>
      </c>
      <c r="BD44" s="360">
        <f t="shared" si="82"/>
        <v>0.36002290267492765</v>
      </c>
      <c r="BE44" s="360">
        <f t="shared" si="83"/>
        <v>1.2282485100529761E-2</v>
      </c>
    </row>
    <row r="45" spans="1:57" x14ac:dyDescent="0.2">
      <c r="A45" s="28" t="s">
        <v>123</v>
      </c>
      <c r="B45" s="447">
        <f>Vsp_Q1</f>
        <v>2.9781249999999999</v>
      </c>
      <c r="C45" s="445" t="s">
        <v>0</v>
      </c>
      <c r="G45">
        <v>36</v>
      </c>
      <c r="H45" s="548">
        <f t="shared" si="49"/>
        <v>21</v>
      </c>
      <c r="I45" s="4">
        <f t="shared" si="50"/>
        <v>1</v>
      </c>
      <c r="J45" s="360">
        <f t="shared" si="84"/>
        <v>1.8</v>
      </c>
      <c r="K45" s="360">
        <f t="shared" si="51"/>
        <v>1.8</v>
      </c>
      <c r="L45" s="4">
        <f t="shared" si="52"/>
        <v>1.9047619047619047</v>
      </c>
      <c r="M45" s="360">
        <f t="shared" si="53"/>
        <v>0.95324009923384223</v>
      </c>
      <c r="N45" s="4">
        <f t="shared" si="54"/>
        <v>0.31202725914921081</v>
      </c>
      <c r="O45" s="4">
        <f t="shared" si="39"/>
        <v>1.9560136295746053</v>
      </c>
      <c r="P45" s="4">
        <f t="shared" si="40"/>
        <v>1.6439863704253947</v>
      </c>
      <c r="Q45" s="4">
        <f t="shared" si="55"/>
        <v>0</v>
      </c>
      <c r="R45" s="4">
        <f t="shared" si="41"/>
        <v>1.8022523179448766</v>
      </c>
      <c r="S45" s="360">
        <f t="shared" si="56"/>
        <v>1.2992453670150722E-2</v>
      </c>
      <c r="T45" s="360">
        <f t="shared" si="57"/>
        <v>0.3</v>
      </c>
      <c r="U45" s="360">
        <f t="shared" si="58"/>
        <v>0.31331811535797532</v>
      </c>
      <c r="V45" s="4">
        <f t="shared" si="42"/>
        <v>9.0074511032149002E-2</v>
      </c>
      <c r="W45" s="360">
        <f t="shared" si="10"/>
        <v>1.6226835075361464E-5</v>
      </c>
      <c r="X45" s="360">
        <f t="shared" si="43"/>
        <v>1.6226835075361464E-5</v>
      </c>
      <c r="Y45" s="4">
        <f t="shared" si="44"/>
        <v>0.38049901318256724</v>
      </c>
      <c r="Z45" s="360">
        <f t="shared" si="11"/>
        <v>1.4477949903290749E-4</v>
      </c>
      <c r="AA45" s="541">
        <f t="shared" si="45"/>
        <v>1.4477949903290749E-4</v>
      </c>
      <c r="AB45" s="360">
        <f t="shared" si="46"/>
        <v>1.7596113083452245</v>
      </c>
      <c r="AC45" s="360">
        <f t="shared" si="59"/>
        <v>1.8577391738738357E-2</v>
      </c>
      <c r="AD45" s="360">
        <f t="shared" si="60"/>
        <v>0.1344282274635861</v>
      </c>
      <c r="AE45" s="360">
        <f t="shared" si="61"/>
        <v>0.6042329999999998</v>
      </c>
      <c r="AF45" s="360">
        <f t="shared" si="62"/>
        <v>0</v>
      </c>
      <c r="AG45" s="360">
        <f t="shared" si="63"/>
        <v>0.76006261539274844</v>
      </c>
      <c r="AH45" s="360">
        <f t="shared" si="64"/>
        <v>0.38971972118599224</v>
      </c>
      <c r="AI45" s="360">
        <f t="shared" si="65"/>
        <v>3.7970365270321885E-4</v>
      </c>
      <c r="AJ45" s="360">
        <f t="shared" si="66"/>
        <v>7.0559999999999998E-2</v>
      </c>
      <c r="AK45" s="360">
        <f t="shared" si="67"/>
        <v>7.0943798170837138E-2</v>
      </c>
      <c r="AL45" s="360">
        <f t="shared" si="68"/>
        <v>7.0559999999999998E-2</v>
      </c>
      <c r="AM45" s="360">
        <f t="shared" si="69"/>
        <v>0.9071999999999999</v>
      </c>
      <c r="AN45" s="360">
        <f t="shared" si="70"/>
        <v>1.2992453670150722E-2</v>
      </c>
      <c r="AO45" s="360">
        <f t="shared" si="71"/>
        <v>7.3499999999999998E-4</v>
      </c>
      <c r="AP45" s="360">
        <f t="shared" si="72"/>
        <v>0.32999999999999996</v>
      </c>
      <c r="AQ45" s="360">
        <f t="shared" si="26"/>
        <v>1.2539999999999998</v>
      </c>
      <c r="AR45" s="360">
        <f t="shared" si="73"/>
        <v>1.0559999999999998</v>
      </c>
      <c r="AS45" s="360">
        <f t="shared" si="74"/>
        <v>0.33073499999999995</v>
      </c>
      <c r="AT45" s="360">
        <f t="shared" si="75"/>
        <v>2.4659729889258197</v>
      </c>
      <c r="AU45">
        <f t="shared" si="76"/>
        <v>36</v>
      </c>
      <c r="AV45" s="542">
        <f t="shared" si="47"/>
        <v>0.93589209378284122</v>
      </c>
      <c r="AW45" s="551">
        <f t="shared" si="77"/>
        <v>67.940730769637426</v>
      </c>
      <c r="AX45" s="551">
        <f t="shared" si="78"/>
        <v>14.072152330491809</v>
      </c>
      <c r="AY45" s="9"/>
      <c r="AZ45" s="4">
        <f t="shared" si="48"/>
        <v>93.589209378284124</v>
      </c>
      <c r="BA45" s="360">
        <f t="shared" si="79"/>
        <v>0.31331811535797532</v>
      </c>
      <c r="BB45" s="360">
        <f t="shared" si="80"/>
        <v>1.7382064135635855</v>
      </c>
      <c r="BC45" s="360">
        <f t="shared" si="81"/>
        <v>1.3588146153927485</v>
      </c>
      <c r="BD45" s="360">
        <f t="shared" si="82"/>
        <v>0.3703197981708371</v>
      </c>
      <c r="BE45" s="360">
        <f t="shared" si="83"/>
        <v>1.2992453670150722E-2</v>
      </c>
    </row>
    <row r="46" spans="1:57" x14ac:dyDescent="0.2">
      <c r="A46" s="77" t="s">
        <v>203</v>
      </c>
      <c r="B46" s="5">
        <f>Vsd_Q1</f>
        <v>0.7</v>
      </c>
      <c r="C46" s="445" t="s">
        <v>0</v>
      </c>
      <c r="G46">
        <v>37</v>
      </c>
      <c r="H46" s="548">
        <f t="shared" si="49"/>
        <v>21</v>
      </c>
      <c r="I46" s="4">
        <f t="shared" si="50"/>
        <v>1</v>
      </c>
      <c r="J46" s="360">
        <f t="shared" si="84"/>
        <v>1.85</v>
      </c>
      <c r="K46" s="360">
        <f t="shared" si="51"/>
        <v>1.85</v>
      </c>
      <c r="L46" s="4">
        <f t="shared" si="52"/>
        <v>1.9576719576719575</v>
      </c>
      <c r="M46" s="360">
        <f t="shared" si="53"/>
        <v>0.95326396337304187</v>
      </c>
      <c r="N46" s="4">
        <f t="shared" si="54"/>
        <v>0.31187619335021372</v>
      </c>
      <c r="O46" s="4">
        <f t="shared" si="39"/>
        <v>2.005938096675107</v>
      </c>
      <c r="P46" s="4">
        <f t="shared" si="40"/>
        <v>1.6940619033248931</v>
      </c>
      <c r="Q46" s="4">
        <f t="shared" si="55"/>
        <v>0</v>
      </c>
      <c r="R46" s="4">
        <f t="shared" si="41"/>
        <v>1.8521893972624808</v>
      </c>
      <c r="S46" s="360">
        <f t="shared" si="56"/>
        <v>1.3722422253326209E-2</v>
      </c>
      <c r="T46" s="360">
        <f t="shared" si="57"/>
        <v>0.3</v>
      </c>
      <c r="U46" s="360">
        <f t="shared" si="58"/>
        <v>0.31406720327566778</v>
      </c>
      <c r="V46" s="4">
        <f t="shared" si="42"/>
        <v>9.0030902092290838E-2</v>
      </c>
      <c r="W46" s="360">
        <f t="shared" si="10"/>
        <v>1.621112666310332E-5</v>
      </c>
      <c r="X46" s="360">
        <f t="shared" si="43"/>
        <v>1.621112666310332E-5</v>
      </c>
      <c r="Y46" s="4">
        <f t="shared" si="44"/>
        <v>0.39094703302912515</v>
      </c>
      <c r="Z46" s="360">
        <f t="shared" si="11"/>
        <v>1.5283958263427586E-4</v>
      </c>
      <c r="AA46" s="541">
        <f t="shared" si="45"/>
        <v>1.5283958263427586E-4</v>
      </c>
      <c r="AB46" s="360">
        <f t="shared" si="46"/>
        <v>1.8083895200069708</v>
      </c>
      <c r="AC46" s="360">
        <f t="shared" si="59"/>
        <v>1.9621635936426254E-2</v>
      </c>
      <c r="AD46" s="360">
        <f t="shared" si="60"/>
        <v>0.13816234489313012</v>
      </c>
      <c r="AE46" s="360">
        <f t="shared" si="61"/>
        <v>0.6042329999999998</v>
      </c>
      <c r="AF46" s="360">
        <f t="shared" si="62"/>
        <v>0</v>
      </c>
      <c r="AG46" s="360">
        <f t="shared" si="63"/>
        <v>0.76501916634282974</v>
      </c>
      <c r="AH46" s="360">
        <f t="shared" si="64"/>
        <v>0.400415917841074</v>
      </c>
      <c r="AI46" s="360">
        <f t="shared" si="65"/>
        <v>4.008322681512743E-4</v>
      </c>
      <c r="AJ46" s="360">
        <f t="shared" si="66"/>
        <v>7.2520000000000001E-2</v>
      </c>
      <c r="AK46" s="360">
        <f t="shared" si="67"/>
        <v>7.292527535028695E-2</v>
      </c>
      <c r="AL46" s="360">
        <f t="shared" si="68"/>
        <v>7.2520000000000001E-2</v>
      </c>
      <c r="AM46" s="360">
        <f t="shared" si="69"/>
        <v>0.93240000000000001</v>
      </c>
      <c r="AN46" s="360">
        <f t="shared" si="70"/>
        <v>1.3722422253326209E-2</v>
      </c>
      <c r="AO46" s="360">
        <f t="shared" si="71"/>
        <v>7.3499999999999998E-4</v>
      </c>
      <c r="AP46" s="360">
        <f t="shared" si="72"/>
        <v>0.32999999999999996</v>
      </c>
      <c r="AQ46" s="360">
        <f t="shared" si="26"/>
        <v>1.2539999999999998</v>
      </c>
      <c r="AR46" s="360">
        <f t="shared" si="73"/>
        <v>1.0559999999999998</v>
      </c>
      <c r="AS46" s="360">
        <f t="shared" si="74"/>
        <v>0.33073499999999995</v>
      </c>
      <c r="AT46" s="360">
        <f t="shared" si="75"/>
        <v>2.5015581179314075</v>
      </c>
      <c r="AU46">
        <f t="shared" si="76"/>
        <v>37</v>
      </c>
      <c r="AV46" s="542">
        <f t="shared" si="47"/>
        <v>0.93667191277713557</v>
      </c>
      <c r="AW46" s="551">
        <f t="shared" si="77"/>
        <v>69.020158317141494</v>
      </c>
      <c r="AX46" s="551">
        <f t="shared" si="78"/>
        <v>14.463456463310905</v>
      </c>
      <c r="AY46" s="9"/>
      <c r="AZ46" s="4">
        <f t="shared" si="48"/>
        <v>93.667191277713556</v>
      </c>
      <c r="BA46" s="360">
        <f t="shared" si="79"/>
        <v>0.31406720327566778</v>
      </c>
      <c r="BB46" s="360">
        <f t="shared" si="80"/>
        <v>1.7703444416931167</v>
      </c>
      <c r="BC46" s="360">
        <f t="shared" si="81"/>
        <v>1.3804031663428298</v>
      </c>
      <c r="BD46" s="360">
        <f t="shared" si="82"/>
        <v>0.380617275350287</v>
      </c>
      <c r="BE46" s="360">
        <f t="shared" si="83"/>
        <v>1.3722422253326209E-2</v>
      </c>
    </row>
    <row r="47" spans="1:57" ht="15.75" x14ac:dyDescent="0.3">
      <c r="A47" s="446" t="s">
        <v>472</v>
      </c>
      <c r="B47" s="5">
        <f>ThetaJA_Q1</f>
        <v>50</v>
      </c>
      <c r="C47" s="441" t="s">
        <v>205</v>
      </c>
      <c r="D47" s="21" t="s">
        <v>103</v>
      </c>
      <c r="G47">
        <v>38</v>
      </c>
      <c r="H47" s="548">
        <f t="shared" si="49"/>
        <v>21</v>
      </c>
      <c r="I47" s="4">
        <f t="shared" si="50"/>
        <v>1</v>
      </c>
      <c r="J47" s="360">
        <f t="shared" si="84"/>
        <v>1.9</v>
      </c>
      <c r="K47" s="360">
        <f t="shared" si="51"/>
        <v>1.9</v>
      </c>
      <c r="L47" s="4">
        <f t="shared" si="52"/>
        <v>2.0105820105820102</v>
      </c>
      <c r="M47" s="360">
        <f t="shared" si="53"/>
        <v>0.95328782745542473</v>
      </c>
      <c r="N47" s="4">
        <f t="shared" si="54"/>
        <v>0.31172511957792443</v>
      </c>
      <c r="O47" s="4">
        <f t="shared" si="39"/>
        <v>2.0558625597889622</v>
      </c>
      <c r="P47" s="4">
        <f t="shared" si="40"/>
        <v>1.7441374402110377</v>
      </c>
      <c r="Q47" s="4">
        <f t="shared" si="55"/>
        <v>0</v>
      </c>
      <c r="R47" s="4">
        <f t="shared" si="41"/>
        <v>1.9021297832994088</v>
      </c>
      <c r="S47" s="360">
        <f t="shared" si="56"/>
        <v>1.4472390850058626E-2</v>
      </c>
      <c r="T47" s="360">
        <f t="shared" si="57"/>
        <v>0.3</v>
      </c>
      <c r="U47" s="360">
        <f t="shared" si="58"/>
        <v>0.31483690627098476</v>
      </c>
      <c r="V47" s="4">
        <f t="shared" si="42"/>
        <v>8.9987290850741475E-2</v>
      </c>
      <c r="W47" s="360">
        <f t="shared" si="10"/>
        <v>1.6195425029311883E-5</v>
      </c>
      <c r="X47" s="360">
        <f t="shared" si="43"/>
        <v>1.6195425029311883E-5</v>
      </c>
      <c r="Y47" s="4">
        <f t="shared" si="44"/>
        <v>0.40139060465064974</v>
      </c>
      <c r="Z47" s="360">
        <f t="shared" si="11"/>
        <v>1.6111441750181422E-4</v>
      </c>
      <c r="AA47" s="541">
        <f t="shared" si="45"/>
        <v>1.6111441750181422E-4</v>
      </c>
      <c r="AB47" s="360">
        <f t="shared" si="46"/>
        <v>1.8571721804626888</v>
      </c>
      <c r="AC47" s="360">
        <f t="shared" si="59"/>
        <v>2.069453104730723E-2</v>
      </c>
      <c r="AD47" s="360">
        <f t="shared" si="60"/>
        <v>0.14189646232267417</v>
      </c>
      <c r="AE47" s="360">
        <f t="shared" si="61"/>
        <v>0.6042329999999998</v>
      </c>
      <c r="AF47" s="360">
        <f t="shared" si="62"/>
        <v>0</v>
      </c>
      <c r="AG47" s="360">
        <f t="shared" si="63"/>
        <v>0.77001099666543338</v>
      </c>
      <c r="AH47" s="360">
        <f t="shared" si="64"/>
        <v>0.41110729089876002</v>
      </c>
      <c r="AI47" s="360">
        <f t="shared" si="65"/>
        <v>4.2252301157529428E-4</v>
      </c>
      <c r="AJ47" s="360">
        <f t="shared" si="66"/>
        <v>7.4479999999999991E-2</v>
      </c>
      <c r="AK47" s="360">
        <f t="shared" si="67"/>
        <v>7.4907333822561206E-2</v>
      </c>
      <c r="AL47" s="360">
        <f t="shared" si="68"/>
        <v>7.4479999999999991E-2</v>
      </c>
      <c r="AM47" s="360">
        <f t="shared" si="69"/>
        <v>0.9575999999999999</v>
      </c>
      <c r="AN47" s="360">
        <f t="shared" si="70"/>
        <v>1.4472390850058626E-2</v>
      </c>
      <c r="AO47" s="360">
        <f t="shared" si="71"/>
        <v>7.3499999999999998E-4</v>
      </c>
      <c r="AP47" s="360">
        <f t="shared" si="72"/>
        <v>0.32999999999999996</v>
      </c>
      <c r="AQ47" s="360">
        <f t="shared" si="26"/>
        <v>1.2539999999999998</v>
      </c>
      <c r="AR47" s="360">
        <f t="shared" si="73"/>
        <v>1.0559999999999998</v>
      </c>
      <c r="AS47" s="360">
        <f t="shared" si="74"/>
        <v>0.33073499999999995</v>
      </c>
      <c r="AT47" s="360">
        <f t="shared" si="75"/>
        <v>2.5372199374515687</v>
      </c>
      <c r="AU47">
        <f t="shared" si="76"/>
        <v>38</v>
      </c>
      <c r="AV47" s="542">
        <f t="shared" si="47"/>
        <v>0.93741011491743964</v>
      </c>
      <c r="AW47" s="551">
        <f t="shared" si="77"/>
        <v>70.101349833271669</v>
      </c>
      <c r="AX47" s="551">
        <f t="shared" si="78"/>
        <v>14.854782685257325</v>
      </c>
      <c r="AY47" s="9"/>
      <c r="AZ47" s="4">
        <f t="shared" si="48"/>
        <v>93.741011491743961</v>
      </c>
      <c r="BA47" s="360">
        <f t="shared" si="79"/>
        <v>0.31483690627098476</v>
      </c>
      <c r="BB47" s="360">
        <f t="shared" si="80"/>
        <v>1.8025183304879944</v>
      </c>
      <c r="BC47" s="360">
        <f t="shared" si="81"/>
        <v>1.4020269966654333</v>
      </c>
      <c r="BD47" s="360">
        <f t="shared" si="82"/>
        <v>0.39091533382256116</v>
      </c>
      <c r="BE47" s="360">
        <f t="shared" si="83"/>
        <v>1.4472390850058626E-2</v>
      </c>
    </row>
    <row r="48" spans="1:57" x14ac:dyDescent="0.2">
      <c r="A48" s="24" t="s">
        <v>526</v>
      </c>
      <c r="B48" s="15" t="s">
        <v>111</v>
      </c>
      <c r="C48" s="24" t="s">
        <v>76</v>
      </c>
      <c r="D48" s="17" t="s">
        <v>107</v>
      </c>
      <c r="G48">
        <v>39</v>
      </c>
      <c r="H48" s="548">
        <f t="shared" si="49"/>
        <v>21</v>
      </c>
      <c r="I48" s="4">
        <f t="shared" si="50"/>
        <v>1</v>
      </c>
      <c r="J48" s="360">
        <f t="shared" si="84"/>
        <v>1.95</v>
      </c>
      <c r="K48" s="360">
        <f t="shared" si="51"/>
        <v>1.95</v>
      </c>
      <c r="L48" s="4">
        <f t="shared" si="52"/>
        <v>2.0634920634920633</v>
      </c>
      <c r="M48" s="360">
        <f t="shared" si="53"/>
        <v>0.95331169148099082</v>
      </c>
      <c r="N48" s="4">
        <f t="shared" si="54"/>
        <v>0.31157403783237025</v>
      </c>
      <c r="O48" s="4">
        <f t="shared" si="39"/>
        <v>2.1057870189161849</v>
      </c>
      <c r="P48" s="4">
        <f t="shared" si="40"/>
        <v>1.7942129810838148</v>
      </c>
      <c r="Q48" s="4">
        <f t="shared" si="55"/>
        <v>0</v>
      </c>
      <c r="R48" s="4">
        <f t="shared" si="41"/>
        <v>1.9520732222659058</v>
      </c>
      <c r="S48" s="360">
        <f t="shared" si="56"/>
        <v>1.5242359460350387E-2</v>
      </c>
      <c r="T48" s="360">
        <f t="shared" si="57"/>
        <v>0.3</v>
      </c>
      <c r="U48" s="360">
        <f t="shared" si="58"/>
        <v>0.31562723175810498</v>
      </c>
      <c r="V48" s="4">
        <f t="shared" si="42"/>
        <v>8.994367730750881E-2</v>
      </c>
      <c r="W48" s="360">
        <f t="shared" si="10"/>
        <v>1.6179730175194551E-5</v>
      </c>
      <c r="X48" s="360">
        <f t="shared" si="43"/>
        <v>1.6179730175194551E-5</v>
      </c>
      <c r="Y48" s="4">
        <f t="shared" si="44"/>
        <v>0.41182967172518786</v>
      </c>
      <c r="Z48" s="360">
        <f t="shared" si="11"/>
        <v>1.6960367851327602E-4</v>
      </c>
      <c r="AA48" s="541">
        <f t="shared" si="45"/>
        <v>1.6960367851327602E-4</v>
      </c>
      <c r="AB48" s="360">
        <f t="shared" si="46"/>
        <v>1.9059590420119152</v>
      </c>
      <c r="AC48" s="360">
        <f t="shared" si="59"/>
        <v>2.1796079218961865E-2</v>
      </c>
      <c r="AD48" s="360">
        <f t="shared" si="60"/>
        <v>0.14563057975221821</v>
      </c>
      <c r="AE48" s="360">
        <f t="shared" si="61"/>
        <v>0.6042329999999998</v>
      </c>
      <c r="AF48" s="360">
        <f t="shared" si="62"/>
        <v>0</v>
      </c>
      <c r="AG48" s="360">
        <f t="shared" si="63"/>
        <v>0.77503821784997606</v>
      </c>
      <c r="AH48" s="360">
        <f t="shared" si="64"/>
        <v>0.42179378286150604</v>
      </c>
      <c r="AI48" s="360">
        <f t="shared" si="65"/>
        <v>4.4477498815154832E-4</v>
      </c>
      <c r="AJ48" s="360">
        <f t="shared" si="66"/>
        <v>7.6439999999999994E-2</v>
      </c>
      <c r="AK48" s="360">
        <f t="shared" si="67"/>
        <v>7.6889973196162975E-2</v>
      </c>
      <c r="AL48" s="360">
        <f t="shared" si="68"/>
        <v>7.6439999999999994E-2</v>
      </c>
      <c r="AM48" s="360">
        <f t="shared" si="69"/>
        <v>0.9827999999999999</v>
      </c>
      <c r="AN48" s="360">
        <f t="shared" si="70"/>
        <v>1.5242359460350387E-2</v>
      </c>
      <c r="AO48" s="360">
        <f t="shared" si="71"/>
        <v>7.3499999999999998E-4</v>
      </c>
      <c r="AP48" s="360">
        <f t="shared" si="72"/>
        <v>0.32999999999999996</v>
      </c>
      <c r="AQ48" s="360">
        <f t="shared" si="26"/>
        <v>1.2539999999999998</v>
      </c>
      <c r="AR48" s="360">
        <f t="shared" si="73"/>
        <v>1.0559999999999998</v>
      </c>
      <c r="AS48" s="360">
        <f t="shared" si="74"/>
        <v>0.33073499999999995</v>
      </c>
      <c r="AT48" s="360">
        <f t="shared" si="75"/>
        <v>2.5729585656732827</v>
      </c>
      <c r="AU48">
        <f t="shared" si="76"/>
        <v>39</v>
      </c>
      <c r="AV48" s="542">
        <f t="shared" si="47"/>
        <v>0.93810980371751151</v>
      </c>
      <c r="AW48" s="551">
        <f t="shared" si="77"/>
        <v>71.1843108924988</v>
      </c>
      <c r="AX48" s="551">
        <f t="shared" si="78"/>
        <v>15.246130981454193</v>
      </c>
      <c r="AY48" s="9"/>
      <c r="AZ48" s="4">
        <f t="shared" si="48"/>
        <v>93.810980371751157</v>
      </c>
      <c r="BA48" s="360">
        <f t="shared" si="79"/>
        <v>0.31562723175810498</v>
      </c>
      <c r="BB48" s="360">
        <f t="shared" si="80"/>
        <v>1.834728191046139</v>
      </c>
      <c r="BC48" s="360">
        <f t="shared" si="81"/>
        <v>1.4236862178499761</v>
      </c>
      <c r="BD48" s="360">
        <f t="shared" si="82"/>
        <v>0.40121397319616298</v>
      </c>
      <c r="BE48" s="360">
        <f t="shared" si="83"/>
        <v>1.5242359460350387E-2</v>
      </c>
    </row>
    <row r="49" spans="1:64" x14ac:dyDescent="0.2">
      <c r="A49" s="23" t="s">
        <v>68</v>
      </c>
      <c r="B49" s="5">
        <f>Rdson2*1000</f>
        <v>2.5</v>
      </c>
      <c r="C49" s="442" t="s">
        <v>466</v>
      </c>
      <c r="D49" s="440" t="s">
        <v>527</v>
      </c>
      <c r="G49">
        <v>40</v>
      </c>
      <c r="H49" s="548">
        <f t="shared" si="49"/>
        <v>21</v>
      </c>
      <c r="I49" s="4">
        <f t="shared" si="50"/>
        <v>1</v>
      </c>
      <c r="J49" s="360">
        <f t="shared" si="84"/>
        <v>2</v>
      </c>
      <c r="K49" s="360">
        <f t="shared" si="51"/>
        <v>2</v>
      </c>
      <c r="L49" s="4">
        <f t="shared" si="52"/>
        <v>2.1164021164021163</v>
      </c>
      <c r="M49" s="360">
        <f t="shared" si="53"/>
        <v>0.95333555544974047</v>
      </c>
      <c r="N49" s="4">
        <f t="shared" si="54"/>
        <v>0.31142294811358201</v>
      </c>
      <c r="O49" s="4">
        <f t="shared" si="39"/>
        <v>2.1557114740567909</v>
      </c>
      <c r="P49" s="4">
        <f t="shared" si="40"/>
        <v>1.8442885259432089</v>
      </c>
      <c r="Q49" s="4">
        <f t="shared" si="55"/>
        <v>0</v>
      </c>
      <c r="R49" s="4">
        <f t="shared" si="41"/>
        <v>2.0020194856821396</v>
      </c>
      <c r="S49" s="360">
        <f t="shared" si="56"/>
        <v>1.6032328084203917E-2</v>
      </c>
      <c r="T49" s="360">
        <f t="shared" si="57"/>
        <v>0.3</v>
      </c>
      <c r="U49" s="360">
        <f t="shared" si="58"/>
        <v>0.31643818735124274</v>
      </c>
      <c r="V49" s="4">
        <f t="shared" si="42"/>
        <v>8.9900061462601724E-2</v>
      </c>
      <c r="W49" s="360">
        <f t="shared" si="10"/>
        <v>1.6164042101959136E-5</v>
      </c>
      <c r="X49" s="360">
        <f t="shared" si="43"/>
        <v>1.6164042101959136E-5</v>
      </c>
      <c r="Y49" s="4">
        <f t="shared" si="44"/>
        <v>0.42226418331868437</v>
      </c>
      <c r="Z49" s="360">
        <f t="shared" si="11"/>
        <v>1.7830704051379547E-4</v>
      </c>
      <c r="AA49" s="541">
        <f t="shared" si="45"/>
        <v>1.7830704051379547E-4</v>
      </c>
      <c r="AB49" s="360">
        <f t="shared" si="46"/>
        <v>1.9547498816541089</v>
      </c>
      <c r="AC49" s="360">
        <f t="shared" si="59"/>
        <v>2.2926282598960516E-2</v>
      </c>
      <c r="AD49" s="360">
        <f t="shared" si="60"/>
        <v>0.14936469718176229</v>
      </c>
      <c r="AE49" s="360">
        <f t="shared" si="61"/>
        <v>0.6042329999999998</v>
      </c>
      <c r="AF49" s="360">
        <f t="shared" si="62"/>
        <v>0</v>
      </c>
      <c r="AG49" s="360">
        <f t="shared" si="63"/>
        <v>0.78010094271439978</v>
      </c>
      <c r="AH49" s="360">
        <f t="shared" si="64"/>
        <v>0.4324753417528282</v>
      </c>
      <c r="AI49" s="360">
        <f t="shared" si="65"/>
        <v>4.6758730306056389E-4</v>
      </c>
      <c r="AJ49" s="360">
        <f t="shared" si="66"/>
        <v>7.8399999999999997E-2</v>
      </c>
      <c r="AK49" s="360">
        <f t="shared" si="67"/>
        <v>7.8873193078813159E-2</v>
      </c>
      <c r="AL49" s="360">
        <f t="shared" si="68"/>
        <v>7.8399999999999997E-2</v>
      </c>
      <c r="AM49" s="360">
        <f t="shared" si="69"/>
        <v>1.0079999999999998</v>
      </c>
      <c r="AN49" s="360">
        <f t="shared" si="70"/>
        <v>1.6032328084203917E-2</v>
      </c>
      <c r="AO49" s="360">
        <f t="shared" si="71"/>
        <v>7.3499999999999998E-4</v>
      </c>
      <c r="AP49" s="360">
        <f t="shared" si="72"/>
        <v>0.32999999999999996</v>
      </c>
      <c r="AQ49" s="360">
        <f t="shared" si="26"/>
        <v>1.2539999999999998</v>
      </c>
      <c r="AR49" s="360">
        <f t="shared" si="73"/>
        <v>1.0559999999999998</v>
      </c>
      <c r="AS49" s="360">
        <f t="shared" si="74"/>
        <v>0.33073499999999995</v>
      </c>
      <c r="AT49" s="360">
        <f t="shared" si="75"/>
        <v>2.6087741223112748</v>
      </c>
      <c r="AU49">
        <f t="shared" si="76"/>
        <v>40</v>
      </c>
      <c r="AV49" s="542">
        <f t="shared" si="47"/>
        <v>0.93877378131502642</v>
      </c>
      <c r="AW49" s="551">
        <f t="shared" si="77"/>
        <v>72.269047135719973</v>
      </c>
      <c r="AX49" s="551">
        <f t="shared" si="78"/>
        <v>15.637501336994896</v>
      </c>
      <c r="AY49" s="9"/>
      <c r="AZ49" s="4">
        <f t="shared" si="48"/>
        <v>93.877378131502638</v>
      </c>
      <c r="BA49" s="360">
        <f t="shared" si="79"/>
        <v>0.31643818735124274</v>
      </c>
      <c r="BB49" s="360">
        <f t="shared" si="80"/>
        <v>1.8669741357932126</v>
      </c>
      <c r="BC49" s="360">
        <f t="shared" si="81"/>
        <v>1.4453809427143995</v>
      </c>
      <c r="BD49" s="360">
        <f t="shared" si="82"/>
        <v>0.41151319307881307</v>
      </c>
      <c r="BE49" s="360">
        <f t="shared" si="83"/>
        <v>1.6032328084203917E-2</v>
      </c>
    </row>
    <row r="50" spans="1:64" x14ac:dyDescent="0.2">
      <c r="A50" s="23" t="s">
        <v>80</v>
      </c>
      <c r="B50" s="5">
        <f>RdsonBotTc*1000000</f>
        <v>4000</v>
      </c>
      <c r="C50" s="440" t="s">
        <v>81</v>
      </c>
      <c r="D50" s="21" t="s">
        <v>104</v>
      </c>
      <c r="G50">
        <v>41</v>
      </c>
      <c r="H50" s="548">
        <f t="shared" si="49"/>
        <v>21</v>
      </c>
      <c r="I50" s="4">
        <f t="shared" si="50"/>
        <v>1</v>
      </c>
      <c r="J50" s="360">
        <f t="shared" si="84"/>
        <v>2.0499999999999998</v>
      </c>
      <c r="K50" s="360">
        <f t="shared" si="51"/>
        <v>2.0499999999999998</v>
      </c>
      <c r="L50" s="4">
        <f t="shared" si="52"/>
        <v>2.1693121693121689</v>
      </c>
      <c r="M50" s="360">
        <f t="shared" si="53"/>
        <v>0.95335941936167412</v>
      </c>
      <c r="N50" s="4">
        <f t="shared" si="54"/>
        <v>0.31127185042158712</v>
      </c>
      <c r="O50" s="4">
        <f t="shared" si="39"/>
        <v>2.2056359252107933</v>
      </c>
      <c r="P50" s="4">
        <f t="shared" si="40"/>
        <v>1.8943640747892063</v>
      </c>
      <c r="Q50" s="4">
        <f t="shared" si="55"/>
        <v>0</v>
      </c>
      <c r="R50" s="4">
        <f t="shared" si="41"/>
        <v>2.0519683673013596</v>
      </c>
      <c r="S50" s="360">
        <f t="shared" si="56"/>
        <v>1.684229672162163E-2</v>
      </c>
      <c r="T50" s="360">
        <f t="shared" si="57"/>
        <v>0.3</v>
      </c>
      <c r="U50" s="360">
        <f t="shared" si="58"/>
        <v>0.31726978086483193</v>
      </c>
      <c r="V50" s="4">
        <f t="shared" si="42"/>
        <v>8.9856443316028128E-2</v>
      </c>
      <c r="W50" s="360">
        <f t="shared" si="10"/>
        <v>1.6148360810813154E-5</v>
      </c>
      <c r="X50" s="360">
        <f t="shared" si="43"/>
        <v>1.6148360810813154E-5</v>
      </c>
      <c r="Y50" s="4">
        <f t="shared" si="44"/>
        <v>0.43269409322971863</v>
      </c>
      <c r="Z50" s="360">
        <f t="shared" si="11"/>
        <v>1.8722417831588844E-4</v>
      </c>
      <c r="AA50" s="541">
        <f t="shared" si="45"/>
        <v>1.8722417831588844E-4</v>
      </c>
      <c r="AB50" s="360">
        <f t="shared" si="46"/>
        <v>2.0035444980859687</v>
      </c>
      <c r="AC50" s="360">
        <f t="shared" si="59"/>
        <v>2.4085143334863335E-2</v>
      </c>
      <c r="AD50" s="360">
        <f t="shared" si="60"/>
        <v>0.15309881461130634</v>
      </c>
      <c r="AE50" s="360">
        <f t="shared" si="61"/>
        <v>0.6042329999999998</v>
      </c>
      <c r="AF50" s="360">
        <f t="shared" si="62"/>
        <v>0</v>
      </c>
      <c r="AG50" s="360">
        <f t="shared" si="63"/>
        <v>0.78519928541329176</v>
      </c>
      <c r="AH50" s="360">
        <f t="shared" si="64"/>
        <v>0.44315192044585716</v>
      </c>
      <c r="AI50" s="360">
        <f t="shared" si="65"/>
        <v>4.9095906148712834E-4</v>
      </c>
      <c r="AJ50" s="360">
        <f t="shared" si="66"/>
        <v>8.0359999999999987E-2</v>
      </c>
      <c r="AK50" s="360">
        <f t="shared" si="67"/>
        <v>8.0856993077449396E-2</v>
      </c>
      <c r="AL50" s="360">
        <f t="shared" si="68"/>
        <v>8.0359999999999987E-2</v>
      </c>
      <c r="AM50" s="360">
        <f t="shared" si="69"/>
        <v>1.0331999999999999</v>
      </c>
      <c r="AN50" s="360">
        <f t="shared" si="70"/>
        <v>1.684229672162163E-2</v>
      </c>
      <c r="AO50" s="360">
        <f t="shared" si="71"/>
        <v>7.3499999999999998E-4</v>
      </c>
      <c r="AP50" s="360">
        <f t="shared" si="72"/>
        <v>0.32999999999999996</v>
      </c>
      <c r="AQ50" s="360">
        <f t="shared" si="26"/>
        <v>1.2539999999999998</v>
      </c>
      <c r="AR50" s="360">
        <f t="shared" si="73"/>
        <v>1.0559999999999998</v>
      </c>
      <c r="AS50" s="360">
        <f t="shared" si="74"/>
        <v>0.33073499999999995</v>
      </c>
      <c r="AT50" s="360">
        <f t="shared" si="75"/>
        <v>2.644666728616321</v>
      </c>
      <c r="AU50">
        <f t="shared" si="76"/>
        <v>41</v>
      </c>
      <c r="AV50" s="542">
        <f t="shared" si="47"/>
        <v>0.93940458418296724</v>
      </c>
      <c r="AW50" s="551">
        <f t="shared" si="77"/>
        <v>73.355564270664587</v>
      </c>
      <c r="AX50" s="551">
        <f t="shared" si="78"/>
        <v>16.028893736943076</v>
      </c>
      <c r="AY50" s="9"/>
      <c r="AZ50" s="4">
        <f t="shared" si="48"/>
        <v>93.940458418296728</v>
      </c>
      <c r="BA50" s="360">
        <f t="shared" si="79"/>
        <v>0.31726978086483193</v>
      </c>
      <c r="BB50" s="360">
        <f t="shared" si="80"/>
        <v>1.899256278490741</v>
      </c>
      <c r="BC50" s="360">
        <f t="shared" si="81"/>
        <v>1.4671112854132917</v>
      </c>
      <c r="BD50" s="360">
        <f t="shared" si="82"/>
        <v>0.42181299307744935</v>
      </c>
      <c r="BE50" s="360">
        <f t="shared" si="83"/>
        <v>1.684229672162163E-2</v>
      </c>
    </row>
    <row r="51" spans="1:64" x14ac:dyDescent="0.2">
      <c r="A51" s="23" t="s">
        <v>67</v>
      </c>
      <c r="B51" s="5">
        <f>Qg_Q2*1000000000</f>
        <v>25</v>
      </c>
      <c r="C51" s="440" t="s">
        <v>65</v>
      </c>
      <c r="D51" s="21" t="s">
        <v>99</v>
      </c>
      <c r="G51">
        <v>42</v>
      </c>
      <c r="H51" s="548">
        <f t="shared" si="49"/>
        <v>21</v>
      </c>
      <c r="I51" s="4">
        <f t="shared" si="50"/>
        <v>1</v>
      </c>
      <c r="J51" s="360">
        <f t="shared" si="84"/>
        <v>2.1</v>
      </c>
      <c r="K51" s="360">
        <f t="shared" si="51"/>
        <v>2.1</v>
      </c>
      <c r="L51" s="4">
        <f t="shared" si="52"/>
        <v>2.2222222222222219</v>
      </c>
      <c r="M51" s="360">
        <f t="shared" si="53"/>
        <v>0.95338328321679155</v>
      </c>
      <c r="N51" s="4">
        <f t="shared" si="54"/>
        <v>0.31112074475641271</v>
      </c>
      <c r="O51" s="4">
        <f t="shared" si="39"/>
        <v>2.2555603723782065</v>
      </c>
      <c r="P51" s="4">
        <f t="shared" si="40"/>
        <v>1.9444396276217937</v>
      </c>
      <c r="Q51" s="4">
        <f t="shared" si="55"/>
        <v>0</v>
      </c>
      <c r="R51" s="4">
        <f t="shared" si="41"/>
        <v>2.1019196804710409</v>
      </c>
      <c r="S51" s="360">
        <f t="shared" si="56"/>
        <v>1.7672265372605932E-2</v>
      </c>
      <c r="T51" s="360">
        <f t="shared" si="57"/>
        <v>0.3</v>
      </c>
      <c r="U51" s="360">
        <f t="shared" si="58"/>
        <v>0.31812202031371417</v>
      </c>
      <c r="V51" s="4">
        <f t="shared" si="42"/>
        <v>8.9812822867795863E-2</v>
      </c>
      <c r="W51" s="360">
        <f t="shared" si="10"/>
        <v>1.613268630296415E-5</v>
      </c>
      <c r="X51" s="360">
        <f t="shared" si="43"/>
        <v>1.613268630296415E-5</v>
      </c>
      <c r="Y51" s="4">
        <f t="shared" si="44"/>
        <v>0.44311935942751945</v>
      </c>
      <c r="Z51" s="360">
        <f t="shared" si="11"/>
        <v>1.9635476669945518E-4</v>
      </c>
      <c r="AA51" s="541">
        <f t="shared" si="45"/>
        <v>1.9635476669945518E-4</v>
      </c>
      <c r="AB51" s="360">
        <f t="shared" si="46"/>
        <v>2.0523427091261741</v>
      </c>
      <c r="AC51" s="360">
        <f t="shared" si="59"/>
        <v>2.5272663574220186E-2</v>
      </c>
      <c r="AD51" s="360">
        <f t="shared" si="60"/>
        <v>0.15683293204085041</v>
      </c>
      <c r="AE51" s="360">
        <f t="shared" si="61"/>
        <v>0.6042329999999998</v>
      </c>
      <c r="AF51" s="360">
        <f t="shared" si="62"/>
        <v>0</v>
      </c>
      <c r="AG51" s="360">
        <f t="shared" si="63"/>
        <v>0.79033336144613242</v>
      </c>
      <c r="AH51" s="360">
        <f t="shared" si="64"/>
        <v>0.45382347608747403</v>
      </c>
      <c r="AI51" s="360">
        <f t="shared" si="65"/>
        <v>5.1488936862029535E-4</v>
      </c>
      <c r="AJ51" s="360">
        <f t="shared" si="66"/>
        <v>8.2320000000000004E-2</v>
      </c>
      <c r="AK51" s="360">
        <f t="shared" si="67"/>
        <v>8.2841372798224927E-2</v>
      </c>
      <c r="AL51" s="360">
        <f t="shared" si="68"/>
        <v>8.2320000000000004E-2</v>
      </c>
      <c r="AM51" s="360">
        <f t="shared" si="69"/>
        <v>1.0583999999999998</v>
      </c>
      <c r="AN51" s="360">
        <f t="shared" si="70"/>
        <v>1.7672265372605932E-2</v>
      </c>
      <c r="AO51" s="360">
        <f t="shared" si="71"/>
        <v>7.3499999999999998E-4</v>
      </c>
      <c r="AP51" s="360">
        <f t="shared" si="72"/>
        <v>0.32999999999999996</v>
      </c>
      <c r="AQ51" s="360">
        <f t="shared" si="26"/>
        <v>1.2539999999999998</v>
      </c>
      <c r="AR51" s="360">
        <f t="shared" si="73"/>
        <v>1.0559999999999998</v>
      </c>
      <c r="AS51" s="360">
        <f t="shared" si="74"/>
        <v>0.33073499999999995</v>
      </c>
      <c r="AT51" s="360">
        <f t="shared" si="75"/>
        <v>2.6806365073836789</v>
      </c>
      <c r="AU51">
        <f t="shared" si="76"/>
        <v>42</v>
      </c>
      <c r="AV51" s="542">
        <f t="shared" si="47"/>
        <v>0.94000451388062267</v>
      </c>
      <c r="AW51" s="551">
        <f t="shared" si="77"/>
        <v>74.443868072306614</v>
      </c>
      <c r="AX51" s="551">
        <f t="shared" si="78"/>
        <v>16.420308166332546</v>
      </c>
      <c r="AY51" s="9"/>
      <c r="AZ51" s="4">
        <f t="shared" si="48"/>
        <v>94.000451388062274</v>
      </c>
      <c r="BA51" s="360">
        <f t="shared" si="79"/>
        <v>0.31812202031371417</v>
      </c>
      <c r="BB51" s="360">
        <f t="shared" si="80"/>
        <v>1.9315747342443572</v>
      </c>
      <c r="BC51" s="360">
        <f t="shared" si="81"/>
        <v>1.4888773614461324</v>
      </c>
      <c r="BD51" s="360">
        <f t="shared" si="82"/>
        <v>0.43211337279822493</v>
      </c>
      <c r="BE51" s="360">
        <f t="shared" si="83"/>
        <v>1.7672265372605932E-2</v>
      </c>
    </row>
    <row r="52" spans="1:64" x14ac:dyDescent="0.2">
      <c r="A52" s="23" t="s">
        <v>91</v>
      </c>
      <c r="B52" s="5">
        <f>Rgate2</f>
        <v>0.5</v>
      </c>
      <c r="C52" s="444" t="s">
        <v>116</v>
      </c>
      <c r="D52" s="21" t="s">
        <v>100</v>
      </c>
      <c r="G52">
        <v>43</v>
      </c>
      <c r="H52" s="548">
        <f t="shared" si="49"/>
        <v>21</v>
      </c>
      <c r="I52" s="4">
        <f t="shared" si="50"/>
        <v>1</v>
      </c>
      <c r="J52" s="360">
        <f t="shared" si="84"/>
        <v>2.15</v>
      </c>
      <c r="K52" s="360">
        <f t="shared" si="51"/>
        <v>2.15</v>
      </c>
      <c r="L52" s="4">
        <f t="shared" si="52"/>
        <v>2.2751322751322749</v>
      </c>
      <c r="M52" s="360">
        <f t="shared" si="53"/>
        <v>0.95340714701509321</v>
      </c>
      <c r="N52" s="4">
        <f t="shared" si="54"/>
        <v>0.31096963111808967</v>
      </c>
      <c r="O52" s="4">
        <f t="shared" si="39"/>
        <v>2.3054848155590446</v>
      </c>
      <c r="P52" s="4">
        <f t="shared" si="40"/>
        <v>1.994515184440955</v>
      </c>
      <c r="Q52" s="4">
        <f t="shared" si="55"/>
        <v>0</v>
      </c>
      <c r="R52" s="4">
        <f t="shared" si="41"/>
        <v>2.1518732558609974</v>
      </c>
      <c r="S52" s="360">
        <f t="shared" si="56"/>
        <v>1.8522234037159239E-2</v>
      </c>
      <c r="T52" s="360">
        <f t="shared" si="57"/>
        <v>0.3</v>
      </c>
      <c r="U52" s="360">
        <f t="shared" si="58"/>
        <v>0.31899491391333251</v>
      </c>
      <c r="V52" s="4">
        <f t="shared" si="42"/>
        <v>8.9769200117913853E-2</v>
      </c>
      <c r="W52" s="360">
        <f t="shared" si="10"/>
        <v>1.611701857962013E-5</v>
      </c>
      <c r="X52" s="360">
        <f t="shared" si="43"/>
        <v>1.611701857962013E-5</v>
      </c>
      <c r="Y52" s="4">
        <f t="shared" si="44"/>
        <v>0.4535399435681236</v>
      </c>
      <c r="Z52" s="360">
        <f t="shared" si="11"/>
        <v>2.0569848041177675E-4</v>
      </c>
      <c r="AA52" s="541">
        <f t="shared" si="45"/>
        <v>2.0569848041177675E-4</v>
      </c>
      <c r="AB52" s="360">
        <f t="shared" si="46"/>
        <v>2.1011443494982585</v>
      </c>
      <c r="AC52" s="360">
        <f t="shared" si="59"/>
        <v>2.6488845464570757E-2</v>
      </c>
      <c r="AD52" s="360">
        <f t="shared" si="60"/>
        <v>0.16056704947039446</v>
      </c>
      <c r="AE52" s="360">
        <f t="shared" si="61"/>
        <v>0.6042329999999998</v>
      </c>
      <c r="AF52" s="360">
        <f t="shared" si="62"/>
        <v>0</v>
      </c>
      <c r="AG52" s="360">
        <f t="shared" si="63"/>
        <v>0.7955032876656718</v>
      </c>
      <c r="AH52" s="360">
        <f t="shared" si="64"/>
        <v>0.4644899696025192</v>
      </c>
      <c r="AI52" s="360">
        <f t="shared" si="65"/>
        <v>5.3937732965337302E-4</v>
      </c>
      <c r="AJ52" s="360">
        <f t="shared" si="66"/>
        <v>8.4279999999999994E-2</v>
      </c>
      <c r="AK52" s="360">
        <f t="shared" si="67"/>
        <v>8.4826331846507425E-2</v>
      </c>
      <c r="AL52" s="360">
        <f t="shared" si="68"/>
        <v>8.4279999999999994E-2</v>
      </c>
      <c r="AM52" s="360">
        <f t="shared" si="69"/>
        <v>1.0835999999999999</v>
      </c>
      <c r="AN52" s="360">
        <f t="shared" si="70"/>
        <v>1.8522234037159239E-2</v>
      </c>
      <c r="AO52" s="360">
        <f t="shared" si="71"/>
        <v>7.3499999999999998E-4</v>
      </c>
      <c r="AP52" s="360">
        <f t="shared" si="72"/>
        <v>0.32999999999999996</v>
      </c>
      <c r="AQ52" s="360">
        <f t="shared" si="26"/>
        <v>1.2539999999999998</v>
      </c>
      <c r="AR52" s="360">
        <f t="shared" si="73"/>
        <v>1.0559999999999998</v>
      </c>
      <c r="AS52" s="360">
        <f t="shared" si="74"/>
        <v>0.33073499999999995</v>
      </c>
      <c r="AT52" s="360">
        <f t="shared" si="75"/>
        <v>2.7166835829616618</v>
      </c>
      <c r="AU52">
        <f t="shared" si="76"/>
        <v>43</v>
      </c>
      <c r="AV52" s="542">
        <f t="shared" si="47"/>
        <v>0.94057566362984923</v>
      </c>
      <c r="AW52" s="551">
        <f t="shared" si="77"/>
        <v>75.533964383283589</v>
      </c>
      <c r="AX52" s="551">
        <f t="shared" si="78"/>
        <v>16.811744610167281</v>
      </c>
      <c r="AY52" s="9"/>
      <c r="AZ52" s="4">
        <f t="shared" si="48"/>
        <v>94.057566362984929</v>
      </c>
      <c r="BA52" s="360">
        <f t="shared" si="79"/>
        <v>0.31899491391333251</v>
      </c>
      <c r="BB52" s="360">
        <f t="shared" si="80"/>
        <v>1.9639296195121791</v>
      </c>
      <c r="BC52" s="360">
        <f t="shared" si="81"/>
        <v>1.5106792876656718</v>
      </c>
      <c r="BD52" s="360">
        <f t="shared" si="82"/>
        <v>0.44241433184650736</v>
      </c>
      <c r="BE52" s="360">
        <f t="shared" si="83"/>
        <v>1.8522234037159239E-2</v>
      </c>
    </row>
    <row r="53" spans="1:64" x14ac:dyDescent="0.2">
      <c r="A53" s="23" t="s">
        <v>72</v>
      </c>
      <c r="B53" s="5">
        <f>Vsd_Q2</f>
        <v>0.7</v>
      </c>
      <c r="C53" s="440" t="s">
        <v>0</v>
      </c>
      <c r="D53" s="21" t="s">
        <v>105</v>
      </c>
      <c r="G53">
        <v>44</v>
      </c>
      <c r="H53" s="548">
        <f t="shared" si="49"/>
        <v>21</v>
      </c>
      <c r="I53" s="4">
        <f t="shared" si="50"/>
        <v>1</v>
      </c>
      <c r="J53" s="360">
        <f t="shared" si="84"/>
        <v>2.2000000000000002</v>
      </c>
      <c r="K53" s="360">
        <f t="shared" si="51"/>
        <v>2.2000000000000002</v>
      </c>
      <c r="L53" s="4">
        <f t="shared" si="52"/>
        <v>2.3280423280423279</v>
      </c>
      <c r="M53" s="360">
        <f t="shared" si="53"/>
        <v>0.95343101075657932</v>
      </c>
      <c r="N53" s="4">
        <f t="shared" si="54"/>
        <v>0.31081850950664536</v>
      </c>
      <c r="O53" s="4">
        <f t="shared" si="39"/>
        <v>2.3554092547533227</v>
      </c>
      <c r="P53" s="4">
        <f t="shared" si="40"/>
        <v>2.0445907452466776</v>
      </c>
      <c r="Q53" s="4">
        <f t="shared" si="55"/>
        <v>0</v>
      </c>
      <c r="R53" s="4">
        <f t="shared" si="41"/>
        <v>2.2018289395002952</v>
      </c>
      <c r="S53" s="360">
        <f t="shared" si="56"/>
        <v>1.9392202715283979E-2</v>
      </c>
      <c r="T53" s="360">
        <f t="shared" si="57"/>
        <v>0.3</v>
      </c>
      <c r="U53" s="360">
        <f t="shared" si="58"/>
        <v>0.31988847007992971</v>
      </c>
      <c r="V53" s="4">
        <f t="shared" si="42"/>
        <v>8.9725575066389979E-2</v>
      </c>
      <c r="W53" s="360">
        <f t="shared" si="10"/>
        <v>1.6101357641988765E-5</v>
      </c>
      <c r="X53" s="360">
        <f t="shared" si="43"/>
        <v>1.6101357641988765E-5</v>
      </c>
      <c r="Y53" s="4">
        <f t="shared" si="44"/>
        <v>0.46395581057630719</v>
      </c>
      <c r="Z53" s="360">
        <f t="shared" si="11"/>
        <v>2.1525499416751826E-4</v>
      </c>
      <c r="AA53" s="541">
        <f t="shared" si="45"/>
        <v>2.1525499416751826E-4</v>
      </c>
      <c r="AB53" s="360">
        <f t="shared" si="46"/>
        <v>2.1499492689148321</v>
      </c>
      <c r="AC53" s="360">
        <f t="shared" si="59"/>
        <v>2.7733691153444526E-2</v>
      </c>
      <c r="AD53" s="360">
        <f t="shared" si="60"/>
        <v>0.16430116689993851</v>
      </c>
      <c r="AE53" s="360">
        <f t="shared" si="61"/>
        <v>0.6042329999999998</v>
      </c>
      <c r="AF53" s="360">
        <f t="shared" si="62"/>
        <v>0</v>
      </c>
      <c r="AG53" s="360">
        <f t="shared" si="63"/>
        <v>0.80070918228643462</v>
      </c>
      <c r="AH53" s="360">
        <f t="shared" si="64"/>
        <v>0.47515136526539964</v>
      </c>
      <c r="AI53" s="360">
        <f t="shared" si="65"/>
        <v>5.6442204978393313E-4</v>
      </c>
      <c r="AJ53" s="360">
        <f t="shared" si="66"/>
        <v>8.6240000000000011E-2</v>
      </c>
      <c r="AK53" s="360">
        <f t="shared" si="67"/>
        <v>8.6811869826877955E-2</v>
      </c>
      <c r="AL53" s="360">
        <f t="shared" si="68"/>
        <v>8.6240000000000011E-2</v>
      </c>
      <c r="AM53" s="360">
        <f t="shared" si="69"/>
        <v>1.1088</v>
      </c>
      <c r="AN53" s="360">
        <f t="shared" si="70"/>
        <v>1.9392202715283979E-2</v>
      </c>
      <c r="AO53" s="360">
        <f t="shared" si="71"/>
        <v>7.3499999999999998E-4</v>
      </c>
      <c r="AP53" s="360">
        <f t="shared" si="72"/>
        <v>0.32999999999999996</v>
      </c>
      <c r="AQ53" s="360">
        <f t="shared" si="26"/>
        <v>1.2539999999999998</v>
      </c>
      <c r="AR53" s="360">
        <f t="shared" si="73"/>
        <v>1.0559999999999998</v>
      </c>
      <c r="AS53" s="360">
        <f t="shared" si="74"/>
        <v>0.33073499999999995</v>
      </c>
      <c r="AT53" s="360">
        <f t="shared" si="75"/>
        <v>2.7528080812603357</v>
      </c>
      <c r="AU53">
        <f t="shared" si="76"/>
        <v>44</v>
      </c>
      <c r="AV53" s="542">
        <f t="shared" si="47"/>
        <v>0.94111994136318566</v>
      </c>
      <c r="AW53" s="551">
        <f t="shared" si="77"/>
        <v>76.625859114321742</v>
      </c>
      <c r="AX53" s="551">
        <f t="shared" si="78"/>
        <v>17.203203053421362</v>
      </c>
      <c r="AY53" s="9"/>
      <c r="AZ53" s="4">
        <f t="shared" si="48"/>
        <v>94.111994136318572</v>
      </c>
      <c r="BA53" s="360">
        <f t="shared" si="79"/>
        <v>0.31988847007992971</v>
      </c>
      <c r="BB53" s="360">
        <f t="shared" si="80"/>
        <v>1.9963210521133126</v>
      </c>
      <c r="BC53" s="360">
        <f t="shared" si="81"/>
        <v>1.5325171822864347</v>
      </c>
      <c r="BD53" s="360">
        <f t="shared" si="82"/>
        <v>0.45271586982687795</v>
      </c>
      <c r="BE53" s="360">
        <f t="shared" si="83"/>
        <v>1.9392202715283979E-2</v>
      </c>
    </row>
    <row r="54" spans="1:64" x14ac:dyDescent="0.2">
      <c r="A54" s="23" t="s">
        <v>73</v>
      </c>
      <c r="B54" s="5">
        <f>Qrr_Q2*1000000000</f>
        <v>59.999999999999993</v>
      </c>
      <c r="C54" s="440" t="s">
        <v>65</v>
      </c>
      <c r="D54" s="21" t="s">
        <v>110</v>
      </c>
      <c r="G54">
        <v>45</v>
      </c>
      <c r="H54" s="548">
        <f t="shared" si="49"/>
        <v>21</v>
      </c>
      <c r="I54" s="4">
        <f t="shared" si="50"/>
        <v>1</v>
      </c>
      <c r="J54" s="360">
        <f t="shared" si="84"/>
        <v>2.25</v>
      </c>
      <c r="K54" s="360">
        <f t="shared" si="51"/>
        <v>2.25</v>
      </c>
      <c r="L54" s="4">
        <f t="shared" si="52"/>
        <v>2.3809523809523805</v>
      </c>
      <c r="M54" s="360">
        <f t="shared" si="53"/>
        <v>0.95345487444125021</v>
      </c>
      <c r="N54" s="4">
        <f t="shared" si="54"/>
        <v>0.31066737992210708</v>
      </c>
      <c r="O54" s="4">
        <f t="shared" si="39"/>
        <v>2.4053336899610533</v>
      </c>
      <c r="P54" s="4">
        <f t="shared" si="40"/>
        <v>2.0946663100389467</v>
      </c>
      <c r="Q54" s="4">
        <f t="shared" si="55"/>
        <v>0</v>
      </c>
      <c r="R54" s="4">
        <f t="shared" si="41"/>
        <v>2.2517865910751045</v>
      </c>
      <c r="S54" s="360">
        <f t="shared" si="56"/>
        <v>2.028217140698256E-2</v>
      </c>
      <c r="T54" s="360">
        <f t="shared" si="57"/>
        <v>0.3</v>
      </c>
      <c r="U54" s="360">
        <f t="shared" si="58"/>
        <v>0.32080269743075157</v>
      </c>
      <c r="V54" s="4">
        <f t="shared" si="42"/>
        <v>8.9681947713232138E-2</v>
      </c>
      <c r="W54" s="360">
        <f t="shared" si="10"/>
        <v>1.6085703491277807E-5</v>
      </c>
      <c r="X54" s="360">
        <f t="shared" si="43"/>
        <v>1.6085703491277807E-5</v>
      </c>
      <c r="Y54" s="4">
        <f t="shared" si="44"/>
        <v>0.47436692828308308</v>
      </c>
      <c r="Z54" s="360">
        <f t="shared" si="11"/>
        <v>2.2502398264872769E-4</v>
      </c>
      <c r="AA54" s="541">
        <f t="shared" si="45"/>
        <v>2.2502398264872769E-4</v>
      </c>
      <c r="AB54" s="360">
        <f t="shared" si="46"/>
        <v>2.19875733041646</v>
      </c>
      <c r="AC54" s="360">
        <f t="shared" si="59"/>
        <v>2.9007202788360709E-2</v>
      </c>
      <c r="AD54" s="360">
        <f t="shared" si="60"/>
        <v>0.16803528432948259</v>
      </c>
      <c r="AE54" s="360">
        <f t="shared" si="61"/>
        <v>0.6042329999999998</v>
      </c>
      <c r="AF54" s="360">
        <f t="shared" si="62"/>
        <v>0</v>
      </c>
      <c r="AG54" s="360">
        <f t="shared" si="63"/>
        <v>0.8059511648933585</v>
      </c>
      <c r="AH54" s="360">
        <f t="shared" si="64"/>
        <v>0.48580763032863328</v>
      </c>
      <c r="AI54" s="360">
        <f t="shared" si="65"/>
        <v>5.90022634213805E-4</v>
      </c>
      <c r="AJ54" s="360">
        <f t="shared" si="66"/>
        <v>8.8200000000000001E-2</v>
      </c>
      <c r="AK54" s="360">
        <f t="shared" si="67"/>
        <v>8.8797986343129687E-2</v>
      </c>
      <c r="AL54" s="360">
        <f t="shared" si="68"/>
        <v>8.8200000000000001E-2</v>
      </c>
      <c r="AM54" s="360">
        <f t="shared" si="69"/>
        <v>1.1339999999999999</v>
      </c>
      <c r="AN54" s="360">
        <f t="shared" si="70"/>
        <v>2.028217140698256E-2</v>
      </c>
      <c r="AO54" s="360">
        <f t="shared" si="71"/>
        <v>7.3499999999999998E-4</v>
      </c>
      <c r="AP54" s="360">
        <f t="shared" si="72"/>
        <v>0.32999999999999996</v>
      </c>
      <c r="AQ54" s="360">
        <f t="shared" si="26"/>
        <v>1.2539999999999998</v>
      </c>
      <c r="AR54" s="360">
        <f t="shared" si="73"/>
        <v>1.0559999999999998</v>
      </c>
      <c r="AS54" s="360">
        <f t="shared" si="74"/>
        <v>0.33073499999999995</v>
      </c>
      <c r="AT54" s="360">
        <f t="shared" si="75"/>
        <v>2.7890101297603622</v>
      </c>
      <c r="AU54">
        <f t="shared" si="76"/>
        <v>45</v>
      </c>
      <c r="AV54" s="542">
        <f t="shared" si="47"/>
        <v>0.94163908977843591</v>
      </c>
      <c r="AW54" s="551">
        <f t="shared" si="77"/>
        <v>77.719558244667923</v>
      </c>
      <c r="AX54" s="551">
        <f t="shared" si="78"/>
        <v>17.594683481038928</v>
      </c>
      <c r="AY54" s="9"/>
      <c r="AZ54" s="4">
        <f t="shared" si="48"/>
        <v>94.16390897784359</v>
      </c>
      <c r="BA54" s="360">
        <f t="shared" si="79"/>
        <v>0.32080269743075157</v>
      </c>
      <c r="BB54" s="360">
        <f t="shared" si="80"/>
        <v>2.0287491512364881</v>
      </c>
      <c r="BC54" s="360">
        <f t="shared" si="81"/>
        <v>1.5543911648933584</v>
      </c>
      <c r="BD54" s="360">
        <f t="shared" si="82"/>
        <v>0.46301798634312968</v>
      </c>
      <c r="BE54" s="360">
        <f t="shared" si="83"/>
        <v>2.028217140698256E-2</v>
      </c>
    </row>
    <row r="55" spans="1:64" x14ac:dyDescent="0.2">
      <c r="A55" s="23" t="s">
        <v>74</v>
      </c>
      <c r="B55" s="5">
        <f>Trr_Q2*1000000000</f>
        <v>40</v>
      </c>
      <c r="C55" s="440" t="s">
        <v>75</v>
      </c>
      <c r="D55" s="76" t="s">
        <v>106</v>
      </c>
      <c r="G55">
        <v>46</v>
      </c>
      <c r="H55" s="548">
        <f t="shared" si="49"/>
        <v>21</v>
      </c>
      <c r="I55" s="4">
        <f t="shared" si="50"/>
        <v>1</v>
      </c>
      <c r="J55" s="360">
        <f t="shared" si="84"/>
        <v>2.2999999999999998</v>
      </c>
      <c r="K55" s="360">
        <f t="shared" si="51"/>
        <v>2.2999999999999998</v>
      </c>
      <c r="L55" s="4">
        <f t="shared" si="52"/>
        <v>2.4338624338624335</v>
      </c>
      <c r="M55" s="360">
        <f t="shared" si="53"/>
        <v>0.95347873806910577</v>
      </c>
      <c r="N55" s="4">
        <f t="shared" si="54"/>
        <v>0.31051624236450553</v>
      </c>
      <c r="O55" s="4">
        <f t="shared" si="39"/>
        <v>2.4552581211822524</v>
      </c>
      <c r="P55" s="4">
        <f t="shared" si="40"/>
        <v>2.1447418788177472</v>
      </c>
      <c r="Q55" s="4">
        <f t="shared" si="55"/>
        <v>0</v>
      </c>
      <c r="R55" s="4">
        <f t="shared" si="41"/>
        <v>2.3017460824479201</v>
      </c>
      <c r="S55" s="360">
        <f t="shared" si="56"/>
        <v>2.1192140112257393E-2</v>
      </c>
      <c r="T55" s="360">
        <f t="shared" si="57"/>
        <v>0.3</v>
      </c>
      <c r="U55" s="360">
        <f t="shared" si="58"/>
        <v>0.32173760478425495</v>
      </c>
      <c r="V55" s="4">
        <f t="shared" si="42"/>
        <v>8.9638318058449185E-2</v>
      </c>
      <c r="W55" s="360">
        <f t="shared" si="10"/>
        <v>1.6070056128695394E-5</v>
      </c>
      <c r="X55" s="360">
        <f t="shared" si="43"/>
        <v>1.6070056128695394E-5</v>
      </c>
      <c r="Y55" s="4">
        <f t="shared" si="44"/>
        <v>0.48477326711034624</v>
      </c>
      <c r="Z55" s="360">
        <f t="shared" si="11"/>
        <v>2.3500512050483912E-4</v>
      </c>
      <c r="AA55" s="541">
        <f t="shared" si="45"/>
        <v>2.3500512050483912E-4</v>
      </c>
      <c r="AB55" s="360">
        <f t="shared" si="46"/>
        <v>2.2475684089265702</v>
      </c>
      <c r="AC55" s="360">
        <f t="shared" si="59"/>
        <v>3.0309382516828288E-2</v>
      </c>
      <c r="AD55" s="360">
        <f t="shared" si="60"/>
        <v>0.17176940175902664</v>
      </c>
      <c r="AE55" s="360">
        <f t="shared" si="61"/>
        <v>0.6042329999999998</v>
      </c>
      <c r="AF55" s="360">
        <f t="shared" si="62"/>
        <v>0</v>
      </c>
      <c r="AG55" s="360">
        <f t="shared" si="63"/>
        <v>0.81122935645056282</v>
      </c>
      <c r="AH55" s="360">
        <f t="shared" si="64"/>
        <v>0.49645873469970697</v>
      </c>
      <c r="AI55" s="360">
        <f t="shared" si="65"/>
        <v>6.1617818814908507E-4</v>
      </c>
      <c r="AJ55" s="360">
        <f t="shared" si="66"/>
        <v>9.015999999999999E-2</v>
      </c>
      <c r="AK55" s="360">
        <f t="shared" si="67"/>
        <v>9.0784680998266962E-2</v>
      </c>
      <c r="AL55" s="360">
        <f t="shared" si="68"/>
        <v>9.015999999999999E-2</v>
      </c>
      <c r="AM55" s="360">
        <f t="shared" si="69"/>
        <v>1.1591999999999998</v>
      </c>
      <c r="AN55" s="360">
        <f t="shared" si="70"/>
        <v>2.1192140112257393E-2</v>
      </c>
      <c r="AO55" s="360">
        <f t="shared" si="71"/>
        <v>7.3499999999999998E-4</v>
      </c>
      <c r="AP55" s="360">
        <f t="shared" si="72"/>
        <v>0.32999999999999996</v>
      </c>
      <c r="AQ55" s="360">
        <f t="shared" si="26"/>
        <v>1.2539999999999998</v>
      </c>
      <c r="AR55" s="360">
        <f t="shared" si="73"/>
        <v>1.0559999999999998</v>
      </c>
      <c r="AS55" s="360">
        <f t="shared" si="74"/>
        <v>0.33073499999999995</v>
      </c>
      <c r="AT55" s="360">
        <f t="shared" si="75"/>
        <v>2.8252898575219754</v>
      </c>
      <c r="AU55">
        <f t="shared" si="76"/>
        <v>46</v>
      </c>
      <c r="AV55" s="542">
        <f t="shared" si="47"/>
        <v>0.94213470384371489</v>
      </c>
      <c r="AW55" s="551">
        <f t="shared" si="77"/>
        <v>78.815067822528135</v>
      </c>
      <c r="AX55" s="551">
        <f t="shared" si="78"/>
        <v>17.986185877934144</v>
      </c>
      <c r="AY55" s="9"/>
      <c r="AZ55" s="4">
        <f t="shared" si="48"/>
        <v>94.21347038437149</v>
      </c>
      <c r="BA55" s="360">
        <f t="shared" si="79"/>
        <v>0.32173760478425495</v>
      </c>
      <c r="BB55" s="360">
        <f t="shared" si="80"/>
        <v>2.0612140374488295</v>
      </c>
      <c r="BC55" s="360">
        <f t="shared" si="81"/>
        <v>1.5763013564505628</v>
      </c>
      <c r="BD55" s="360">
        <f t="shared" si="82"/>
        <v>0.47332068099826691</v>
      </c>
      <c r="BE55" s="360">
        <f t="shared" si="83"/>
        <v>2.1192140112257393E-2</v>
      </c>
    </row>
    <row r="56" spans="1:64" ht="15.75" x14ac:dyDescent="0.3">
      <c r="A56" s="446" t="s">
        <v>471</v>
      </c>
      <c r="B56" s="5">
        <f>ThetaJA_Q2</f>
        <v>38</v>
      </c>
      <c r="C56" s="441" t="s">
        <v>205</v>
      </c>
      <c r="D56" s="76" t="s">
        <v>103</v>
      </c>
      <c r="E56" s="2"/>
      <c r="G56">
        <v>47</v>
      </c>
      <c r="H56" s="548">
        <f t="shared" si="49"/>
        <v>21</v>
      </c>
      <c r="I56" s="4">
        <f t="shared" si="50"/>
        <v>1</v>
      </c>
      <c r="J56" s="360">
        <f t="shared" si="84"/>
        <v>2.35</v>
      </c>
      <c r="K56" s="360">
        <f t="shared" si="51"/>
        <v>2.35</v>
      </c>
      <c r="L56" s="4">
        <f t="shared" si="52"/>
        <v>2.4867724867724865</v>
      </c>
      <c r="M56" s="360">
        <f t="shared" si="53"/>
        <v>0.95350260164014622</v>
      </c>
      <c r="N56" s="4">
        <f t="shared" si="54"/>
        <v>0.31036509683386809</v>
      </c>
      <c r="O56" s="4">
        <f t="shared" si="39"/>
        <v>2.5051825484169341</v>
      </c>
      <c r="P56" s="4">
        <f t="shared" si="40"/>
        <v>2.1948174515830661</v>
      </c>
      <c r="Q56" s="4">
        <f t="shared" si="55"/>
        <v>0</v>
      </c>
      <c r="R56" s="4">
        <f t="shared" si="41"/>
        <v>2.3517072963652867</v>
      </c>
      <c r="S56" s="360">
        <f t="shared" si="56"/>
        <v>2.2122108831110907E-2</v>
      </c>
      <c r="T56" s="360">
        <f t="shared" si="57"/>
        <v>0.3</v>
      </c>
      <c r="U56" s="360">
        <f t="shared" si="58"/>
        <v>0.32269320116032119</v>
      </c>
      <c r="V56" s="4">
        <f t="shared" si="42"/>
        <v>8.9594686102049015E-2</v>
      </c>
      <c r="W56" s="360">
        <f t="shared" si="10"/>
        <v>1.6054415555449391E-5</v>
      </c>
      <c r="X56" s="360">
        <f t="shared" si="43"/>
        <v>1.6054415555449391E-5</v>
      </c>
      <c r="Y56" s="4">
        <f t="shared" si="44"/>
        <v>0.49517479979565787</v>
      </c>
      <c r="Z56" s="360">
        <f t="shared" si="11"/>
        <v>2.4519808235266984E-4</v>
      </c>
      <c r="AA56" s="541">
        <f t="shared" si="45"/>
        <v>2.4519808235266984E-4</v>
      </c>
      <c r="AB56" s="360">
        <f t="shared" si="46"/>
        <v>2.2963823899903248</v>
      </c>
      <c r="AC56" s="360">
        <f t="shared" si="59"/>
        <v>3.1640232486346058E-2</v>
      </c>
      <c r="AD56" s="360">
        <f t="shared" si="60"/>
        <v>0.17550351918857068</v>
      </c>
      <c r="AE56" s="360">
        <f t="shared" si="61"/>
        <v>0.6042329999999998</v>
      </c>
      <c r="AF56" s="360">
        <f t="shared" si="62"/>
        <v>0</v>
      </c>
      <c r="AG56" s="360">
        <f t="shared" si="63"/>
        <v>0.81654387931025241</v>
      </c>
      <c r="AH56" s="360">
        <f t="shared" si="64"/>
        <v>0.50710465065906341</v>
      </c>
      <c r="AI56" s="360">
        <f t="shared" si="65"/>
        <v>6.4288781680012686E-4</v>
      </c>
      <c r="AJ56" s="360">
        <f t="shared" si="66"/>
        <v>9.2120000000000007E-2</v>
      </c>
      <c r="AK56" s="360">
        <f t="shared" si="67"/>
        <v>9.2771953394503989E-2</v>
      </c>
      <c r="AL56" s="360">
        <f t="shared" si="68"/>
        <v>9.2120000000000007E-2</v>
      </c>
      <c r="AM56" s="360">
        <f t="shared" si="69"/>
        <v>1.1843999999999999</v>
      </c>
      <c r="AN56" s="360">
        <f t="shared" si="70"/>
        <v>2.2122108831110907E-2</v>
      </c>
      <c r="AO56" s="360">
        <f t="shared" si="71"/>
        <v>7.3499999999999998E-4</v>
      </c>
      <c r="AP56" s="360">
        <f t="shared" si="72"/>
        <v>0.32999999999999996</v>
      </c>
      <c r="AQ56" s="360">
        <f t="shared" si="26"/>
        <v>1.2539999999999998</v>
      </c>
      <c r="AR56" s="360">
        <f t="shared" si="73"/>
        <v>1.0559999999999998</v>
      </c>
      <c r="AS56" s="360">
        <f t="shared" si="74"/>
        <v>0.33073499999999995</v>
      </c>
      <c r="AT56" s="360">
        <f t="shared" si="75"/>
        <v>2.8616473951940962</v>
      </c>
      <c r="AU56">
        <f t="shared" si="76"/>
        <v>47</v>
      </c>
      <c r="AV56" s="542">
        <f t="shared" si="47"/>
        <v>0.94260824612325356</v>
      </c>
      <c r="AW56" s="551">
        <f t="shared" si="77"/>
        <v>79.912393965512621</v>
      </c>
      <c r="AX56" s="551">
        <f t="shared" si="78"/>
        <v>18.377710228991152</v>
      </c>
      <c r="AY56" s="9"/>
      <c r="AZ56" s="4">
        <f t="shared" si="48"/>
        <v>94.260824612325351</v>
      </c>
      <c r="BA56" s="360">
        <f t="shared" si="79"/>
        <v>0.32269320116032119</v>
      </c>
      <c r="BB56" s="360">
        <f t="shared" si="80"/>
        <v>2.0937158327047563</v>
      </c>
      <c r="BC56" s="360">
        <f t="shared" si="81"/>
        <v>1.5982478793102524</v>
      </c>
      <c r="BD56" s="360">
        <f t="shared" si="82"/>
        <v>0.48362395339450398</v>
      </c>
      <c r="BE56" s="360">
        <f t="shared" si="83"/>
        <v>2.2122108831110907E-2</v>
      </c>
      <c r="BK56" s="18"/>
      <c r="BL56" s="19"/>
    </row>
    <row r="57" spans="1:64" x14ac:dyDescent="0.2">
      <c r="A57" s="24" t="s">
        <v>224</v>
      </c>
      <c r="B57" s="15" t="s">
        <v>111</v>
      </c>
      <c r="C57" s="24" t="s">
        <v>76</v>
      </c>
      <c r="D57" s="24" t="s">
        <v>213</v>
      </c>
      <c r="G57">
        <v>48</v>
      </c>
      <c r="H57" s="548">
        <f t="shared" si="49"/>
        <v>21</v>
      </c>
      <c r="I57" s="4">
        <f t="shared" si="50"/>
        <v>1</v>
      </c>
      <c r="J57" s="360">
        <f t="shared" si="84"/>
        <v>2.4</v>
      </c>
      <c r="K57" s="360">
        <f t="shared" si="51"/>
        <v>2.4</v>
      </c>
      <c r="L57" s="4">
        <f t="shared" si="52"/>
        <v>2.5396825396825395</v>
      </c>
      <c r="M57" s="360">
        <f t="shared" si="53"/>
        <v>0.95352646515437223</v>
      </c>
      <c r="N57" s="4">
        <f t="shared" si="54"/>
        <v>0.31021394333022217</v>
      </c>
      <c r="O57" s="4">
        <f t="shared" si="39"/>
        <v>2.5551069716651109</v>
      </c>
      <c r="P57" s="4">
        <f t="shared" si="40"/>
        <v>2.2448930283348889</v>
      </c>
      <c r="Q57" s="4">
        <f t="shared" si="55"/>
        <v>0</v>
      </c>
      <c r="R57" s="4">
        <f t="shared" si="41"/>
        <v>2.4016701253266182</v>
      </c>
      <c r="S57" s="360">
        <f t="shared" si="56"/>
        <v>2.3072077563545495E-2</v>
      </c>
      <c r="T57" s="360">
        <f t="shared" si="57"/>
        <v>0.3</v>
      </c>
      <c r="U57" s="360">
        <f t="shared" si="58"/>
        <v>0.32366949578047355</v>
      </c>
      <c r="V57" s="4">
        <f t="shared" si="42"/>
        <v>8.9551051844039553E-2</v>
      </c>
      <c r="W57" s="360">
        <f t="shared" si="10"/>
        <v>1.6038781772747718E-5</v>
      </c>
      <c r="X57" s="360">
        <f t="shared" si="43"/>
        <v>1.6038781772747718E-5</v>
      </c>
      <c r="Y57" s="4">
        <f t="shared" si="44"/>
        <v>0.50557150115133997</v>
      </c>
      <c r="Z57" s="360">
        <f t="shared" si="11"/>
        <v>2.5560254277641936E-4</v>
      </c>
      <c r="AA57" s="541">
        <f t="shared" si="45"/>
        <v>2.5560254277641936E-4</v>
      </c>
      <c r="AB57" s="360">
        <f t="shared" si="46"/>
        <v>2.3451991686707037</v>
      </c>
      <c r="AC57" s="360">
        <f t="shared" si="59"/>
        <v>3.2999754844402554E-2</v>
      </c>
      <c r="AD57" s="360">
        <f t="shared" si="60"/>
        <v>0.17923763661811476</v>
      </c>
      <c r="AE57" s="360">
        <f t="shared" si="61"/>
        <v>0.6042329999999998</v>
      </c>
      <c r="AF57" s="360">
        <f t="shared" si="62"/>
        <v>0</v>
      </c>
      <c r="AG57" s="360">
        <f t="shared" si="63"/>
        <v>0.82189485722175581</v>
      </c>
      <c r="AH57" s="360">
        <f t="shared" si="64"/>
        <v>0.51774535261324617</v>
      </c>
      <c r="AI57" s="360">
        <f t="shared" si="65"/>
        <v>6.7015062538153649E-4</v>
      </c>
      <c r="AJ57" s="360">
        <f t="shared" si="66"/>
        <v>9.4079999999999997E-2</v>
      </c>
      <c r="AK57" s="360">
        <f t="shared" si="67"/>
        <v>9.4759803133263806E-2</v>
      </c>
      <c r="AL57" s="360">
        <f t="shared" si="68"/>
        <v>9.4079999999999997E-2</v>
      </c>
      <c r="AM57" s="360">
        <f t="shared" si="69"/>
        <v>1.2096</v>
      </c>
      <c r="AN57" s="360">
        <f t="shared" si="70"/>
        <v>2.3072077563545495E-2</v>
      </c>
      <c r="AO57" s="360">
        <f t="shared" si="71"/>
        <v>7.3499999999999998E-4</v>
      </c>
      <c r="AP57" s="360">
        <f t="shared" si="72"/>
        <v>0.32999999999999996</v>
      </c>
      <c r="AQ57" s="360">
        <f t="shared" si="26"/>
        <v>1.2539999999999998</v>
      </c>
      <c r="AR57" s="360">
        <f t="shared" si="73"/>
        <v>1.0559999999999998</v>
      </c>
      <c r="AS57" s="360">
        <f t="shared" si="74"/>
        <v>0.33073499999999995</v>
      </c>
      <c r="AT57" s="360">
        <f t="shared" si="75"/>
        <v>2.8980828750235874</v>
      </c>
      <c r="AU57">
        <f t="shared" si="76"/>
        <v>48</v>
      </c>
      <c r="AV57" s="542">
        <f t="shared" si="47"/>
        <v>0.94306106023404423</v>
      </c>
      <c r="AW57" s="551">
        <f t="shared" si="77"/>
        <v>81.01154286108779</v>
      </c>
      <c r="AX57" s="551">
        <f t="shared" si="78"/>
        <v>18.769256519064026</v>
      </c>
      <c r="AY57" s="9"/>
      <c r="AZ57" s="4">
        <f t="shared" si="48"/>
        <v>94.306106023404425</v>
      </c>
      <c r="BA57" s="360">
        <f t="shared" si="79"/>
        <v>0.32366949578047355</v>
      </c>
      <c r="BB57" s="360">
        <f t="shared" si="80"/>
        <v>2.1262546603550199</v>
      </c>
      <c r="BC57" s="360">
        <f t="shared" si="81"/>
        <v>1.6202308572217559</v>
      </c>
      <c r="BD57" s="360">
        <f t="shared" si="82"/>
        <v>0.49392780313326384</v>
      </c>
      <c r="BE57" s="360">
        <f t="shared" si="83"/>
        <v>2.3072077563545495E-2</v>
      </c>
      <c r="BK57" s="18"/>
      <c r="BL57" s="19"/>
    </row>
    <row r="58" spans="1:64" x14ac:dyDescent="0.2">
      <c r="A58" s="23" t="s">
        <v>195</v>
      </c>
      <c r="B58" s="73">
        <f>VfdSky_Q2</f>
        <v>0</v>
      </c>
      <c r="C58" s="440" t="s">
        <v>0</v>
      </c>
      <c r="D58" s="76" t="s">
        <v>198</v>
      </c>
      <c r="G58">
        <v>49</v>
      </c>
      <c r="H58" s="548">
        <f t="shared" si="49"/>
        <v>21</v>
      </c>
      <c r="I58" s="4">
        <f t="shared" si="50"/>
        <v>1</v>
      </c>
      <c r="J58" s="360">
        <f t="shared" si="84"/>
        <v>2.4500000000000002</v>
      </c>
      <c r="K58" s="360">
        <f t="shared" si="51"/>
        <v>2.4500000000000002</v>
      </c>
      <c r="L58" s="4">
        <f t="shared" si="52"/>
        <v>2.5925925925925921</v>
      </c>
      <c r="M58" s="360">
        <f t="shared" si="53"/>
        <v>0.95355032861178335</v>
      </c>
      <c r="N58" s="4">
        <f t="shared" si="54"/>
        <v>0.31006278185359831</v>
      </c>
      <c r="O58" s="4">
        <f t="shared" si="39"/>
        <v>2.6050313909267993</v>
      </c>
      <c r="P58" s="4">
        <f t="shared" si="40"/>
        <v>2.2949686090732011</v>
      </c>
      <c r="Q58" s="4">
        <f t="shared" si="55"/>
        <v>0</v>
      </c>
      <c r="R58" s="4">
        <f t="shared" si="41"/>
        <v>2.451634470591181</v>
      </c>
      <c r="S58" s="360">
        <f t="shared" si="56"/>
        <v>2.4042046309563601E-2</v>
      </c>
      <c r="T58" s="360">
        <f t="shared" si="57"/>
        <v>0.3</v>
      </c>
      <c r="U58" s="360">
        <f t="shared" si="58"/>
        <v>0.32466649806810094</v>
      </c>
      <c r="V58" s="4">
        <f t="shared" si="42"/>
        <v>8.9507415284429598E-2</v>
      </c>
      <c r="W58" s="360">
        <f t="shared" si="10"/>
        <v>1.6023154781798681E-5</v>
      </c>
      <c r="X58" s="360">
        <f t="shared" si="43"/>
        <v>1.6023154781798681E-5</v>
      </c>
      <c r="Y58" s="4">
        <f t="shared" si="44"/>
        <v>0.51596334785300235</v>
      </c>
      <c r="Z58" s="360">
        <f t="shared" si="11"/>
        <v>2.6621817632767829E-4</v>
      </c>
      <c r="AA58" s="541">
        <f t="shared" si="45"/>
        <v>2.6621817632767829E-4</v>
      </c>
      <c r="AB58" s="360">
        <f t="shared" si="46"/>
        <v>2.3940186485794177</v>
      </c>
      <c r="AC58" s="360">
        <f t="shared" si="59"/>
        <v>3.4387951738476134E-2</v>
      </c>
      <c r="AD58" s="360">
        <f t="shared" si="60"/>
        <v>0.18297175404765881</v>
      </c>
      <c r="AE58" s="360">
        <f t="shared" si="61"/>
        <v>0.6042329999999998</v>
      </c>
      <c r="AF58" s="360">
        <f t="shared" si="62"/>
        <v>0</v>
      </c>
      <c r="AG58" s="360">
        <f t="shared" si="63"/>
        <v>0.82728241534069979</v>
      </c>
      <c r="AH58" s="360">
        <f t="shared" si="64"/>
        <v>0.52838081687820482</v>
      </c>
      <c r="AI58" s="360">
        <f t="shared" si="65"/>
        <v>6.9796571911219757E-4</v>
      </c>
      <c r="AJ58" s="360">
        <f t="shared" si="66"/>
        <v>9.604E-2</v>
      </c>
      <c r="AK58" s="360">
        <f t="shared" si="67"/>
        <v>9.6748229815177153E-2</v>
      </c>
      <c r="AL58" s="360">
        <f t="shared" si="68"/>
        <v>9.604E-2</v>
      </c>
      <c r="AM58" s="360">
        <f t="shared" si="69"/>
        <v>1.2348000000000001</v>
      </c>
      <c r="AN58" s="360">
        <f t="shared" si="70"/>
        <v>2.4042046309563601E-2</v>
      </c>
      <c r="AO58" s="360">
        <f t="shared" si="71"/>
        <v>7.3499999999999998E-4</v>
      </c>
      <c r="AP58" s="360">
        <f t="shared" si="72"/>
        <v>0.32999999999999996</v>
      </c>
      <c r="AQ58" s="360">
        <f t="shared" si="26"/>
        <v>1.2539999999999998</v>
      </c>
      <c r="AR58" s="360">
        <f t="shared" si="73"/>
        <v>1.0559999999999998</v>
      </c>
      <c r="AS58" s="360">
        <f t="shared" si="74"/>
        <v>0.33073499999999995</v>
      </c>
      <c r="AT58" s="360">
        <f t="shared" si="75"/>
        <v>2.9345964308646506</v>
      </c>
      <c r="AU58">
        <f t="shared" si="76"/>
        <v>49</v>
      </c>
      <c r="AV58" s="542">
        <f t="shared" si="47"/>
        <v>0.94349438269398733</v>
      </c>
      <c r="AW58" s="551">
        <f t="shared" si="77"/>
        <v>82.112520767034994</v>
      </c>
      <c r="AX58" s="551">
        <f t="shared" si="78"/>
        <v>19.160824732976735</v>
      </c>
      <c r="AY58" s="9"/>
      <c r="AZ58" s="4">
        <f t="shared" si="48"/>
        <v>94.349438269398732</v>
      </c>
      <c r="BA58" s="360">
        <f t="shared" si="79"/>
        <v>0.32466649806810094</v>
      </c>
      <c r="BB58" s="360">
        <f t="shared" si="80"/>
        <v>2.1588306451558772</v>
      </c>
      <c r="BC58" s="360">
        <f t="shared" si="81"/>
        <v>1.6422504153406998</v>
      </c>
      <c r="BD58" s="360">
        <f t="shared" si="82"/>
        <v>0.50423222981517724</v>
      </c>
      <c r="BE58" s="360">
        <f t="shared" si="83"/>
        <v>2.4042046309563601E-2</v>
      </c>
      <c r="BK58" s="18"/>
      <c r="BL58" s="19"/>
    </row>
    <row r="59" spans="1:64" x14ac:dyDescent="0.2">
      <c r="A59" s="23" t="s">
        <v>196</v>
      </c>
      <c r="B59" s="73">
        <f>QrrSky_Q2*1000000000</f>
        <v>0</v>
      </c>
      <c r="C59" s="440" t="s">
        <v>65</v>
      </c>
      <c r="D59" s="76" t="s">
        <v>199</v>
      </c>
      <c r="G59">
        <v>50</v>
      </c>
      <c r="H59" s="548">
        <f t="shared" si="49"/>
        <v>21</v>
      </c>
      <c r="I59" s="4">
        <f t="shared" si="50"/>
        <v>1</v>
      </c>
      <c r="J59" s="360">
        <f t="shared" si="84"/>
        <v>2.5</v>
      </c>
      <c r="K59" s="360">
        <f t="shared" si="51"/>
        <v>2.5</v>
      </c>
      <c r="L59" s="4">
        <f t="shared" si="52"/>
        <v>2.6455026455026451</v>
      </c>
      <c r="M59" s="360">
        <f t="shared" si="53"/>
        <v>0.95357419201238036</v>
      </c>
      <c r="N59" s="4">
        <f t="shared" si="54"/>
        <v>0.30991161240402404</v>
      </c>
      <c r="O59" s="4">
        <f t="shared" si="39"/>
        <v>2.654955806202012</v>
      </c>
      <c r="P59" s="4">
        <f t="shared" si="40"/>
        <v>2.345044193797988</v>
      </c>
      <c r="Q59" s="4">
        <f t="shared" si="55"/>
        <v>0</v>
      </c>
      <c r="R59" s="4">
        <f t="shared" si="41"/>
        <v>2.5016002413039349</v>
      </c>
      <c r="S59" s="360">
        <f t="shared" si="56"/>
        <v>2.5032015069167621E-2</v>
      </c>
      <c r="T59" s="360">
        <f t="shared" si="57"/>
        <v>0.3</v>
      </c>
      <c r="U59" s="360">
        <f t="shared" si="58"/>
        <v>0.32568421764868538</v>
      </c>
      <c r="V59" s="4">
        <f t="shared" si="42"/>
        <v>8.9463776423227129E-2</v>
      </c>
      <c r="W59" s="360">
        <f t="shared" si="10"/>
        <v>1.6007534583810342E-5</v>
      </c>
      <c r="X59" s="360">
        <f t="shared" si="43"/>
        <v>1.6007534583810342E-5</v>
      </c>
      <c r="Y59" s="4">
        <f t="shared" si="44"/>
        <v>0.52635031825336265</v>
      </c>
      <c r="Z59" s="360">
        <f t="shared" si="11"/>
        <v>2.7704465752541611E-4</v>
      </c>
      <c r="AA59" s="541">
        <f t="shared" si="45"/>
        <v>2.7704465752541611E-4</v>
      </c>
      <c r="AB59" s="360">
        <f t="shared" si="46"/>
        <v>2.4428407410238209</v>
      </c>
      <c r="AC59" s="360">
        <f t="shared" si="59"/>
        <v>3.5804825316034863E-2</v>
      </c>
      <c r="AD59" s="360">
        <f t="shared" si="60"/>
        <v>0.18670587147720286</v>
      </c>
      <c r="AE59" s="360">
        <f t="shared" si="61"/>
        <v>0.6042329999999998</v>
      </c>
      <c r="AF59" s="360">
        <f t="shared" si="62"/>
        <v>0</v>
      </c>
      <c r="AG59" s="360">
        <f t="shared" si="63"/>
        <v>0.83270668023832328</v>
      </c>
      <c r="AH59" s="360">
        <f t="shared" si="64"/>
        <v>0.53901102148851676</v>
      </c>
      <c r="AI59" s="360">
        <f t="shared" si="65"/>
        <v>7.2633220321523576E-4</v>
      </c>
      <c r="AJ59" s="360">
        <f t="shared" si="66"/>
        <v>9.8000000000000004E-2</v>
      </c>
      <c r="AK59" s="360">
        <f t="shared" si="67"/>
        <v>9.8737233040081265E-2</v>
      </c>
      <c r="AL59" s="360">
        <f t="shared" si="68"/>
        <v>9.8000000000000004E-2</v>
      </c>
      <c r="AM59" s="360">
        <f t="shared" si="69"/>
        <v>1.26</v>
      </c>
      <c r="AN59" s="360">
        <f t="shared" si="70"/>
        <v>2.5032015069167621E-2</v>
      </c>
      <c r="AO59" s="360">
        <f t="shared" si="71"/>
        <v>7.3499999999999998E-4</v>
      </c>
      <c r="AP59" s="360">
        <f t="shared" si="72"/>
        <v>0.32999999999999996</v>
      </c>
      <c r="AQ59" s="360">
        <f t="shared" si="26"/>
        <v>1.2539999999999998</v>
      </c>
      <c r="AR59" s="360">
        <f t="shared" si="73"/>
        <v>1.0559999999999998</v>
      </c>
      <c r="AS59" s="360">
        <f t="shared" si="74"/>
        <v>0.33073499999999995</v>
      </c>
      <c r="AT59" s="360">
        <f t="shared" si="75"/>
        <v>2.9711881981883668</v>
      </c>
      <c r="AU59">
        <f t="shared" si="76"/>
        <v>50</v>
      </c>
      <c r="AV59" s="542">
        <f t="shared" si="47"/>
        <v>0.94390935338146742</v>
      </c>
      <c r="AW59" s="551">
        <f t="shared" si="77"/>
        <v>83.21533401191617</v>
      </c>
      <c r="AX59" s="551">
        <f t="shared" si="78"/>
        <v>19.552414855523089</v>
      </c>
      <c r="AY59" s="9"/>
      <c r="AZ59" s="4">
        <f t="shared" si="48"/>
        <v>94.390935338146747</v>
      </c>
      <c r="BA59" s="360">
        <f t="shared" si="79"/>
        <v>0.32568421764868538</v>
      </c>
      <c r="BB59" s="360">
        <f t="shared" si="80"/>
        <v>2.1914439132784045</v>
      </c>
      <c r="BC59" s="360">
        <f t="shared" si="81"/>
        <v>1.6643066802383233</v>
      </c>
      <c r="BD59" s="360">
        <f t="shared" si="82"/>
        <v>0.51453723304008125</v>
      </c>
      <c r="BE59" s="360">
        <f t="shared" si="83"/>
        <v>2.5032015069167621E-2</v>
      </c>
      <c r="BK59" s="18"/>
      <c r="BL59" s="19"/>
    </row>
    <row r="60" spans="1:64" x14ac:dyDescent="0.2">
      <c r="A60" s="23" t="s">
        <v>197</v>
      </c>
      <c r="B60" s="73">
        <f>Ireverse</f>
        <v>0</v>
      </c>
      <c r="C60" s="440" t="s">
        <v>64</v>
      </c>
      <c r="D60" s="76" t="s">
        <v>200</v>
      </c>
      <c r="E60" s="2"/>
      <c r="G60">
        <v>51</v>
      </c>
      <c r="H60" s="548">
        <f t="shared" si="49"/>
        <v>21</v>
      </c>
      <c r="I60" s="4">
        <f t="shared" si="50"/>
        <v>1</v>
      </c>
      <c r="J60" s="360">
        <f t="shared" si="84"/>
        <v>2.5499999999999998</v>
      </c>
      <c r="K60" s="360">
        <f t="shared" si="51"/>
        <v>2.5499999999999998</v>
      </c>
      <c r="L60" s="4">
        <f t="shared" si="52"/>
        <v>2.6984126984126982</v>
      </c>
      <c r="M60" s="360">
        <f t="shared" si="53"/>
        <v>0.95359805535616293</v>
      </c>
      <c r="N60" s="4">
        <f t="shared" si="54"/>
        <v>0.30976043498152661</v>
      </c>
      <c r="O60" s="4">
        <f t="shared" si="39"/>
        <v>2.7048802174907633</v>
      </c>
      <c r="P60" s="4">
        <f t="shared" si="40"/>
        <v>2.3951197825092363</v>
      </c>
      <c r="Q60" s="4">
        <f t="shared" si="55"/>
        <v>0</v>
      </c>
      <c r="R60" s="4">
        <f t="shared" si="41"/>
        <v>2.5515673537239802</v>
      </c>
      <c r="S60" s="360">
        <f t="shared" si="56"/>
        <v>2.6041983842359985E-2</v>
      </c>
      <c r="T60" s="360">
        <f t="shared" si="57"/>
        <v>0.3</v>
      </c>
      <c r="U60" s="360">
        <f t="shared" si="58"/>
        <v>0.32672266435003494</v>
      </c>
      <c r="V60" s="4">
        <f t="shared" si="42"/>
        <v>8.9420135260439987E-2</v>
      </c>
      <c r="W60" s="360">
        <f t="shared" si="10"/>
        <v>1.5991921179990763E-5</v>
      </c>
      <c r="X60" s="360">
        <f t="shared" si="43"/>
        <v>1.5991921179990763E-5</v>
      </c>
      <c r="Y60" s="4">
        <f t="shared" si="44"/>
        <v>0.53673239221794233</v>
      </c>
      <c r="Z60" s="360">
        <f t="shared" si="11"/>
        <v>2.8808166085599507E-4</v>
      </c>
      <c r="AA60" s="541">
        <f t="shared" si="45"/>
        <v>2.8808166085599507E-4</v>
      </c>
      <c r="AB60" s="360">
        <f t="shared" si="46"/>
        <v>2.4916653642539508</v>
      </c>
      <c r="AC60" s="360">
        <f t="shared" si="59"/>
        <v>3.725037772453664E-2</v>
      </c>
      <c r="AD60" s="360">
        <f t="shared" si="60"/>
        <v>0.19043998890674693</v>
      </c>
      <c r="AE60" s="360">
        <f t="shared" si="61"/>
        <v>0.6042329999999998</v>
      </c>
      <c r="AF60" s="360">
        <f t="shared" si="62"/>
        <v>0</v>
      </c>
      <c r="AG60" s="360">
        <f t="shared" si="63"/>
        <v>0.83816777991092706</v>
      </c>
      <c r="AH60" s="360">
        <f t="shared" si="64"/>
        <v>0.54963594602902555</v>
      </c>
      <c r="AI60" s="360">
        <f t="shared" si="65"/>
        <v>7.5524918291805466E-4</v>
      </c>
      <c r="AJ60" s="360">
        <f t="shared" si="66"/>
        <v>9.9959999999999993E-2</v>
      </c>
      <c r="AK60" s="360">
        <f t="shared" si="67"/>
        <v>0.10072681240701885</v>
      </c>
      <c r="AL60" s="360">
        <f t="shared" si="68"/>
        <v>9.9959999999999993E-2</v>
      </c>
      <c r="AM60" s="360">
        <f t="shared" si="69"/>
        <v>1.2851999999999999</v>
      </c>
      <c r="AN60" s="360">
        <f t="shared" si="70"/>
        <v>2.6041983842359985E-2</v>
      </c>
      <c r="AO60" s="360">
        <f t="shared" si="71"/>
        <v>7.3499999999999998E-4</v>
      </c>
      <c r="AP60" s="360">
        <f t="shared" si="72"/>
        <v>0.32999999999999996</v>
      </c>
      <c r="AQ60" s="360">
        <f t="shared" si="26"/>
        <v>1.2539999999999998</v>
      </c>
      <c r="AR60" s="360">
        <f t="shared" si="73"/>
        <v>1.0559999999999998</v>
      </c>
      <c r="AS60" s="360">
        <f t="shared" si="74"/>
        <v>0.33073499999999995</v>
      </c>
      <c r="AT60" s="360">
        <f t="shared" si="75"/>
        <v>3.0078583140923763</v>
      </c>
      <c r="AU60">
        <f t="shared" si="76"/>
        <v>51</v>
      </c>
      <c r="AV60" s="542">
        <f t="shared" si="47"/>
        <v>0.94430702479258422</v>
      </c>
      <c r="AW60" s="551">
        <f t="shared" si="77"/>
        <v>84.319988995546353</v>
      </c>
      <c r="AX60" s="551">
        <f t="shared" si="78"/>
        <v>19.944026871466715</v>
      </c>
      <c r="AY60" s="9"/>
      <c r="AZ60" s="4">
        <f t="shared" si="48"/>
        <v>94.430702479258429</v>
      </c>
      <c r="BA60" s="360">
        <f t="shared" si="79"/>
        <v>0.32672266435003494</v>
      </c>
      <c r="BB60" s="360">
        <f t="shared" si="80"/>
        <v>2.2240945923179458</v>
      </c>
      <c r="BC60" s="360">
        <f t="shared" si="81"/>
        <v>1.6863997799109272</v>
      </c>
      <c r="BD60" s="360">
        <f t="shared" si="82"/>
        <v>0.5248428124070188</v>
      </c>
      <c r="BE60" s="360">
        <f t="shared" si="83"/>
        <v>2.6041983842359985E-2</v>
      </c>
      <c r="BK60" s="18"/>
      <c r="BL60" s="19"/>
    </row>
    <row r="61" spans="1:64" x14ac:dyDescent="0.2">
      <c r="A61" s="24" t="s">
        <v>117</v>
      </c>
      <c r="B61" s="15" t="s">
        <v>111</v>
      </c>
      <c r="C61" s="24" t="s">
        <v>76</v>
      </c>
      <c r="D61" s="24" t="s">
        <v>213</v>
      </c>
      <c r="G61">
        <v>52</v>
      </c>
      <c r="H61" s="548">
        <f t="shared" si="49"/>
        <v>21</v>
      </c>
      <c r="I61" s="4">
        <f t="shared" si="50"/>
        <v>1</v>
      </c>
      <c r="J61" s="360">
        <f t="shared" si="84"/>
        <v>2.6</v>
      </c>
      <c r="K61" s="360">
        <f t="shared" si="51"/>
        <v>2.6</v>
      </c>
      <c r="L61" s="4">
        <f t="shared" si="52"/>
        <v>2.7513227513227512</v>
      </c>
      <c r="M61" s="360">
        <f t="shared" si="53"/>
        <v>0.95362191864313162</v>
      </c>
      <c r="N61" s="4">
        <f t="shared" si="54"/>
        <v>0.30960924958613678</v>
      </c>
      <c r="O61" s="4">
        <f t="shared" si="39"/>
        <v>2.7548046247930684</v>
      </c>
      <c r="P61" s="4">
        <f t="shared" si="40"/>
        <v>2.4451953752069318</v>
      </c>
      <c r="Q61" s="4">
        <f t="shared" si="55"/>
        <v>0</v>
      </c>
      <c r="R61" s="4">
        <f t="shared" si="41"/>
        <v>2.6015357305418227</v>
      </c>
      <c r="S61" s="360">
        <f t="shared" si="56"/>
        <v>2.7071952629143102E-2</v>
      </c>
      <c r="T61" s="360">
        <f t="shared" si="57"/>
        <v>0.3</v>
      </c>
      <c r="U61" s="360">
        <f t="shared" si="58"/>
        <v>0.3277818482025216</v>
      </c>
      <c r="V61" s="4">
        <f t="shared" si="42"/>
        <v>8.9376491796077054E-2</v>
      </c>
      <c r="W61" s="360">
        <f t="shared" si="10"/>
        <v>1.5976314571548457E-5</v>
      </c>
      <c r="X61" s="360">
        <f t="shared" si="43"/>
        <v>1.5976314571548457E-5</v>
      </c>
      <c r="Y61" s="4">
        <f t="shared" si="44"/>
        <v>0.54710955097965364</v>
      </c>
      <c r="Z61" s="360">
        <f t="shared" si="11"/>
        <v>2.9932886077315823E-4</v>
      </c>
      <c r="AA61" s="541">
        <f t="shared" si="45"/>
        <v>2.9932886077315823E-4</v>
      </c>
      <c r="AB61" s="360">
        <f t="shared" si="46"/>
        <v>2.5404924427962494</v>
      </c>
      <c r="AC61" s="360">
        <f t="shared" si="59"/>
        <v>3.8724611111429129E-2</v>
      </c>
      <c r="AD61" s="360">
        <f t="shared" si="60"/>
        <v>0.19417410633629098</v>
      </c>
      <c r="AE61" s="360">
        <f t="shared" si="61"/>
        <v>0.6042329999999998</v>
      </c>
      <c r="AF61" s="360">
        <f t="shared" si="62"/>
        <v>0</v>
      </c>
      <c r="AG61" s="360">
        <f t="shared" si="63"/>
        <v>0.84366584378946841</v>
      </c>
      <c r="AH61" s="360">
        <f t="shared" si="64"/>
        <v>0.5602555714858366</v>
      </c>
      <c r="AI61" s="360">
        <f t="shared" si="65"/>
        <v>7.847157634523035E-4</v>
      </c>
      <c r="AJ61" s="360">
        <f t="shared" si="66"/>
        <v>0.10192</v>
      </c>
      <c r="AK61" s="360">
        <f t="shared" si="67"/>
        <v>0.10271696751423683</v>
      </c>
      <c r="AL61" s="360">
        <f t="shared" si="68"/>
        <v>0.10192</v>
      </c>
      <c r="AM61" s="360">
        <f t="shared" si="69"/>
        <v>1.3104</v>
      </c>
      <c r="AN61" s="360">
        <f t="shared" si="70"/>
        <v>2.7071952629143102E-2</v>
      </c>
      <c r="AO61" s="360">
        <f t="shared" si="71"/>
        <v>7.3499999999999998E-4</v>
      </c>
      <c r="AP61" s="360">
        <f t="shared" si="72"/>
        <v>0.32999999999999996</v>
      </c>
      <c r="AQ61" s="360">
        <f t="shared" si="26"/>
        <v>1.2539999999999998</v>
      </c>
      <c r="AR61" s="360">
        <f t="shared" si="73"/>
        <v>1.0559999999999998</v>
      </c>
      <c r="AS61" s="360">
        <f t="shared" si="74"/>
        <v>0.33073499999999995</v>
      </c>
      <c r="AT61" s="360">
        <f t="shared" si="75"/>
        <v>3.0446069173107144</v>
      </c>
      <c r="AU61">
        <f t="shared" si="76"/>
        <v>52</v>
      </c>
      <c r="AV61" s="542">
        <f t="shared" si="47"/>
        <v>0.94468837025424857</v>
      </c>
      <c r="AW61" s="551">
        <f t="shared" si="77"/>
        <v>85.426492189473421</v>
      </c>
      <c r="AX61" s="551">
        <f t="shared" si="78"/>
        <v>20.335660765541004</v>
      </c>
      <c r="AY61" s="9"/>
      <c r="AZ61" s="4">
        <f t="shared" si="48"/>
        <v>94.468837025424861</v>
      </c>
      <c r="BA61" s="360">
        <f t="shared" si="79"/>
        <v>0.3277818482025216</v>
      </c>
      <c r="BB61" s="360">
        <f t="shared" si="80"/>
        <v>2.2567828113037054</v>
      </c>
      <c r="BC61" s="360">
        <f t="shared" si="81"/>
        <v>1.7085298437894685</v>
      </c>
      <c r="BD61" s="360">
        <f t="shared" si="82"/>
        <v>0.53514896751423691</v>
      </c>
      <c r="BE61" s="360">
        <f t="shared" si="83"/>
        <v>2.7071952629143102E-2</v>
      </c>
      <c r="BK61" s="18"/>
      <c r="BL61" s="19"/>
    </row>
    <row r="62" spans="1:64" ht="15.75" x14ac:dyDescent="0.3">
      <c r="A62" s="446" t="s">
        <v>470</v>
      </c>
      <c r="B62" s="74">
        <v>30</v>
      </c>
      <c r="C62" s="441" t="s">
        <v>205</v>
      </c>
      <c r="D62" s="76" t="s">
        <v>103</v>
      </c>
      <c r="G62">
        <v>53</v>
      </c>
      <c r="H62" s="548">
        <f t="shared" si="49"/>
        <v>21</v>
      </c>
      <c r="I62" s="4">
        <f t="shared" si="50"/>
        <v>1</v>
      </c>
      <c r="J62" s="360">
        <f t="shared" si="84"/>
        <v>2.65</v>
      </c>
      <c r="K62" s="360">
        <f t="shared" si="51"/>
        <v>2.65</v>
      </c>
      <c r="L62" s="4">
        <f t="shared" si="52"/>
        <v>2.8042328042328037</v>
      </c>
      <c r="M62" s="360">
        <f t="shared" si="53"/>
        <v>0.95364578187328652</v>
      </c>
      <c r="N62" s="4">
        <f t="shared" si="54"/>
        <v>0.30945805621788192</v>
      </c>
      <c r="O62" s="4">
        <f t="shared" si="39"/>
        <v>2.804729028108941</v>
      </c>
      <c r="P62" s="4">
        <f t="shared" si="40"/>
        <v>2.4952709718910588</v>
      </c>
      <c r="Q62" s="4">
        <f t="shared" si="55"/>
        <v>0</v>
      </c>
      <c r="R62" s="4">
        <f t="shared" si="41"/>
        <v>2.6515053002737607</v>
      </c>
      <c r="S62" s="360">
        <f t="shared" si="56"/>
        <v>2.8121921429519386E-2</v>
      </c>
      <c r="T62" s="360">
        <f t="shared" si="57"/>
        <v>0.3</v>
      </c>
      <c r="U62" s="360">
        <f t="shared" si="58"/>
        <v>0.32886177943932449</v>
      </c>
      <c r="V62" s="4">
        <f t="shared" si="42"/>
        <v>8.933284603014624E-2</v>
      </c>
      <c r="W62" s="360">
        <f t="shared" si="10"/>
        <v>1.5960714759691629E-5</v>
      </c>
      <c r="X62" s="360">
        <f t="shared" si="43"/>
        <v>1.5960714759691629E-5</v>
      </c>
      <c r="Y62" s="4">
        <f t="shared" si="44"/>
        <v>0.55748177700983015</v>
      </c>
      <c r="Z62" s="360">
        <f t="shared" si="11"/>
        <v>3.10785931698038E-4</v>
      </c>
      <c r="AA62" s="541">
        <f t="shared" si="45"/>
        <v>3.10785931698038E-4</v>
      </c>
      <c r="AB62" s="360">
        <f t="shared" si="46"/>
        <v>2.589321906862545</v>
      </c>
      <c r="AC62" s="360">
        <f t="shared" si="59"/>
        <v>4.0227527624149717E-2</v>
      </c>
      <c r="AD62" s="360">
        <f t="shared" si="60"/>
        <v>0.19790822376583503</v>
      </c>
      <c r="AE62" s="360">
        <f t="shared" si="61"/>
        <v>0.6042329999999998</v>
      </c>
      <c r="AF62" s="360">
        <f t="shared" si="62"/>
        <v>0</v>
      </c>
      <c r="AG62" s="360">
        <f t="shared" si="63"/>
        <v>0.84920100274929522</v>
      </c>
      <c r="AH62" s="360">
        <f t="shared" si="64"/>
        <v>0.57086988011416395</v>
      </c>
      <c r="AI62" s="360">
        <f t="shared" si="65"/>
        <v>8.147310500538999E-4</v>
      </c>
      <c r="AJ62" s="360">
        <f t="shared" si="66"/>
        <v>0.10387999999999999</v>
      </c>
      <c r="AK62" s="360">
        <f t="shared" si="67"/>
        <v>0.10470769795918536</v>
      </c>
      <c r="AL62" s="360">
        <f t="shared" si="68"/>
        <v>0.10387999999999999</v>
      </c>
      <c r="AM62" s="360">
        <f t="shared" si="69"/>
        <v>1.3355999999999999</v>
      </c>
      <c r="AN62" s="360">
        <f t="shared" si="70"/>
        <v>2.8121921429519386E-2</v>
      </c>
      <c r="AO62" s="360">
        <f t="shared" si="71"/>
        <v>7.3499999999999998E-4</v>
      </c>
      <c r="AP62" s="360">
        <f t="shared" si="72"/>
        <v>0.32999999999999996</v>
      </c>
      <c r="AQ62" s="360">
        <f t="shared" si="26"/>
        <v>1.2539999999999998</v>
      </c>
      <c r="AR62" s="360">
        <f t="shared" si="73"/>
        <v>1.0559999999999998</v>
      </c>
      <c r="AS62" s="360">
        <f t="shared" si="74"/>
        <v>0.33073499999999995</v>
      </c>
      <c r="AT62" s="360">
        <f t="shared" si="75"/>
        <v>3.0814341482237819</v>
      </c>
      <c r="AU62">
        <f t="shared" si="76"/>
        <v>53</v>
      </c>
      <c r="AV62" s="542">
        <f t="shared" si="47"/>
        <v>0.94505429122801099</v>
      </c>
      <c r="AW62" s="551">
        <f t="shared" si="77"/>
        <v>86.534850137464758</v>
      </c>
      <c r="AX62" s="551">
        <f t="shared" si="78"/>
        <v>20.727316522449044</v>
      </c>
      <c r="AY62" s="9"/>
      <c r="AZ62" s="4">
        <f t="shared" si="48"/>
        <v>94.505429122801104</v>
      </c>
      <c r="BA62" s="360">
        <f t="shared" si="79"/>
        <v>0.32886177943932449</v>
      </c>
      <c r="BB62" s="360">
        <f t="shared" si="80"/>
        <v>2.2895087007084802</v>
      </c>
      <c r="BC62" s="360">
        <f t="shared" si="81"/>
        <v>1.7306970027492952</v>
      </c>
      <c r="BD62" s="360">
        <f t="shared" si="82"/>
        <v>0.54545569795918536</v>
      </c>
      <c r="BE62" s="360">
        <f t="shared" si="83"/>
        <v>2.8121921429519386E-2</v>
      </c>
      <c r="BK62" s="18"/>
      <c r="BL62" s="19"/>
    </row>
    <row r="63" spans="1:64" x14ac:dyDescent="0.2">
      <c r="A63" s="23" t="s">
        <v>118</v>
      </c>
      <c r="B63" s="74">
        <v>2</v>
      </c>
      <c r="C63" s="441" t="s">
        <v>205</v>
      </c>
      <c r="D63" s="21" t="s">
        <v>103</v>
      </c>
      <c r="G63">
        <v>54</v>
      </c>
      <c r="H63" s="548">
        <f t="shared" si="49"/>
        <v>21</v>
      </c>
      <c r="I63" s="4">
        <f t="shared" si="50"/>
        <v>1</v>
      </c>
      <c r="J63" s="360">
        <f t="shared" si="84"/>
        <v>2.7</v>
      </c>
      <c r="K63" s="360">
        <f t="shared" si="51"/>
        <v>2.7</v>
      </c>
      <c r="L63" s="4">
        <f t="shared" si="52"/>
        <v>2.8571428571428568</v>
      </c>
      <c r="M63" s="360">
        <f t="shared" si="53"/>
        <v>0.95366964504662799</v>
      </c>
      <c r="N63" s="4">
        <f t="shared" si="54"/>
        <v>0.30930685487678938</v>
      </c>
      <c r="O63" s="4">
        <f t="shared" si="39"/>
        <v>2.8546534274383948</v>
      </c>
      <c r="P63" s="4">
        <f t="shared" si="40"/>
        <v>2.5453465725616056</v>
      </c>
      <c r="Q63" s="4">
        <f t="shared" si="55"/>
        <v>0</v>
      </c>
      <c r="R63" s="4">
        <f t="shared" si="41"/>
        <v>2.7014759967234236</v>
      </c>
      <c r="S63" s="360">
        <f t="shared" si="56"/>
        <v>2.9191890243491263E-2</v>
      </c>
      <c r="T63" s="360">
        <f t="shared" si="57"/>
        <v>0.3</v>
      </c>
      <c r="U63" s="360">
        <f t="shared" si="58"/>
        <v>0.32996246849667737</v>
      </c>
      <c r="V63" s="4">
        <f t="shared" si="42"/>
        <v>8.9289197962655442E-2</v>
      </c>
      <c r="W63" s="360">
        <f t="shared" si="10"/>
        <v>1.5945121745628546E-5</v>
      </c>
      <c r="X63" s="360">
        <f t="shared" si="43"/>
        <v>1.5945121745628546E-5</v>
      </c>
      <c r="Y63" s="4">
        <f t="shared" si="44"/>
        <v>0.56784905390354656</v>
      </c>
      <c r="Z63" s="360">
        <f t="shared" si="11"/>
        <v>3.2245254801915293E-4</v>
      </c>
      <c r="AA63" s="541">
        <f t="shared" si="45"/>
        <v>3.2245254801915293E-4</v>
      </c>
      <c r="AB63" s="360">
        <f t="shared" si="46"/>
        <v>2.63815369182457</v>
      </c>
      <c r="AC63" s="360">
        <f t="shared" si="59"/>
        <v>4.1759129410125648E-2</v>
      </c>
      <c r="AD63" s="360">
        <f t="shared" si="60"/>
        <v>0.2016423411953791</v>
      </c>
      <c r="AE63" s="360">
        <f t="shared" si="61"/>
        <v>0.6042329999999998</v>
      </c>
      <c r="AF63" s="360">
        <f t="shared" si="62"/>
        <v>0</v>
      </c>
      <c r="AG63" s="360">
        <f t="shared" si="63"/>
        <v>0.85477338912002354</v>
      </c>
      <c r="AH63" s="360">
        <f t="shared" si="64"/>
        <v>0.58147885532081633</v>
      </c>
      <c r="AI63" s="360">
        <f t="shared" si="65"/>
        <v>8.4529414796301718E-4</v>
      </c>
      <c r="AJ63" s="360">
        <f t="shared" si="66"/>
        <v>0.10584</v>
      </c>
      <c r="AK63" s="360">
        <f t="shared" si="67"/>
        <v>0.10669900333851658</v>
      </c>
      <c r="AL63" s="360">
        <f t="shared" si="68"/>
        <v>0.10584</v>
      </c>
      <c r="AM63" s="360">
        <f t="shared" si="69"/>
        <v>1.3608</v>
      </c>
      <c r="AN63" s="360">
        <f t="shared" si="70"/>
        <v>2.9191890243491263E-2</v>
      </c>
      <c r="AO63" s="360">
        <f t="shared" si="71"/>
        <v>7.3499999999999998E-4</v>
      </c>
      <c r="AP63" s="360">
        <f t="shared" si="72"/>
        <v>0.32999999999999996</v>
      </c>
      <c r="AQ63" s="360">
        <f t="shared" si="26"/>
        <v>1.2539999999999998</v>
      </c>
      <c r="AR63" s="360">
        <f t="shared" si="73"/>
        <v>1.0559999999999998</v>
      </c>
      <c r="AS63" s="360">
        <f t="shared" si="74"/>
        <v>0.33073499999999995</v>
      </c>
      <c r="AT63" s="360">
        <f t="shared" si="75"/>
        <v>3.1183401488684734</v>
      </c>
      <c r="AU63">
        <f t="shared" si="76"/>
        <v>54</v>
      </c>
      <c r="AV63" s="542">
        <f t="shared" si="47"/>
        <v>0.94540562381993076</v>
      </c>
      <c r="AW63" s="551">
        <f t="shared" si="77"/>
        <v>87.645069456001181</v>
      </c>
      <c r="AX63" s="551">
        <f t="shared" si="78"/>
        <v>21.11899412686363</v>
      </c>
      <c r="AY63" s="9"/>
      <c r="AZ63" s="4">
        <f t="shared" si="48"/>
        <v>94.54056238199307</v>
      </c>
      <c r="BA63" s="360">
        <f t="shared" si="79"/>
        <v>0.32996246849667737</v>
      </c>
      <c r="BB63" s="360">
        <f t="shared" si="80"/>
        <v>2.3222723924585402</v>
      </c>
      <c r="BC63" s="360">
        <f t="shared" si="81"/>
        <v>1.7529013891200236</v>
      </c>
      <c r="BD63" s="360">
        <f t="shared" si="82"/>
        <v>0.55576300333851658</v>
      </c>
      <c r="BE63" s="360">
        <f t="shared" si="83"/>
        <v>2.9191890243491263E-2</v>
      </c>
      <c r="BK63" s="18"/>
      <c r="BL63" s="19"/>
    </row>
    <row r="64" spans="1:64" x14ac:dyDescent="0.2">
      <c r="A64" s="75"/>
      <c r="B64" s="30"/>
      <c r="G64">
        <v>55</v>
      </c>
      <c r="H64" s="548">
        <f t="shared" si="49"/>
        <v>21</v>
      </c>
      <c r="I64" s="4">
        <f t="shared" si="50"/>
        <v>1</v>
      </c>
      <c r="J64" s="360">
        <f t="shared" si="84"/>
        <v>2.75</v>
      </c>
      <c r="K64" s="360">
        <f t="shared" si="51"/>
        <v>2.75</v>
      </c>
      <c r="L64" s="4">
        <f t="shared" si="52"/>
        <v>2.9100529100529098</v>
      </c>
      <c r="M64" s="360">
        <f t="shared" si="53"/>
        <v>0.95369350816315601</v>
      </c>
      <c r="N64" s="4">
        <f t="shared" si="54"/>
        <v>0.30915564556288977</v>
      </c>
      <c r="O64" s="4">
        <f t="shared" si="39"/>
        <v>2.9045778227814449</v>
      </c>
      <c r="P64" s="4">
        <f t="shared" si="40"/>
        <v>2.5954221772185551</v>
      </c>
      <c r="Q64" s="4">
        <f t="shared" si="55"/>
        <v>0</v>
      </c>
      <c r="R64" s="4">
        <f t="shared" si="41"/>
        <v>2.7514477585019281</v>
      </c>
      <c r="S64" s="360">
        <f t="shared" si="56"/>
        <v>3.0281859071061137E-2</v>
      </c>
      <c r="T64" s="360">
        <f t="shared" si="57"/>
        <v>0.3</v>
      </c>
      <c r="U64" s="360">
        <f t="shared" si="58"/>
        <v>0.3310839260141214</v>
      </c>
      <c r="V64" s="4">
        <f t="shared" si="42"/>
        <v>8.9245547593613472E-2</v>
      </c>
      <c r="W64" s="360">
        <f t="shared" si="10"/>
        <v>1.5929535530567855E-5</v>
      </c>
      <c r="X64" s="360">
        <f t="shared" si="43"/>
        <v>1.5929535530567855E-5</v>
      </c>
      <c r="Y64" s="4">
        <f t="shared" si="44"/>
        <v>0.57821136627742897</v>
      </c>
      <c r="Z64" s="360">
        <f t="shared" si="11"/>
        <v>3.3432838409241114E-4</v>
      </c>
      <c r="AA64" s="541">
        <f t="shared" si="45"/>
        <v>3.3432838409241114E-4</v>
      </c>
      <c r="AB64" s="360">
        <f t="shared" si="46"/>
        <v>2.6869877377456799</v>
      </c>
      <c r="AC64" s="360">
        <f t="shared" si="59"/>
        <v>4.331941861677388E-2</v>
      </c>
      <c r="AD64" s="360">
        <f t="shared" si="60"/>
        <v>0.20537645862492315</v>
      </c>
      <c r="AE64" s="360">
        <f t="shared" si="61"/>
        <v>0.6042329999999998</v>
      </c>
      <c r="AF64" s="360">
        <f t="shared" si="62"/>
        <v>0</v>
      </c>
      <c r="AG64" s="360">
        <f t="shared" si="63"/>
        <v>0.86038313669556254</v>
      </c>
      <c r="AH64" s="360">
        <f t="shared" si="64"/>
        <v>0.59208248155948529</v>
      </c>
      <c r="AI64" s="360">
        <f t="shared" si="65"/>
        <v>8.7640416242409566E-4</v>
      </c>
      <c r="AJ64" s="360">
        <f t="shared" si="66"/>
        <v>0.10779999999999999</v>
      </c>
      <c r="AK64" s="360">
        <f t="shared" si="67"/>
        <v>0.10869088324808351</v>
      </c>
      <c r="AL64" s="360">
        <f t="shared" si="68"/>
        <v>0.10779999999999999</v>
      </c>
      <c r="AM64" s="360">
        <f t="shared" si="69"/>
        <v>1.3859999999999997</v>
      </c>
      <c r="AN64" s="360">
        <f t="shared" si="70"/>
        <v>3.0281859071061137E-2</v>
      </c>
      <c r="AO64" s="360">
        <f t="shared" si="71"/>
        <v>7.3499999999999998E-4</v>
      </c>
      <c r="AP64" s="360">
        <f t="shared" si="72"/>
        <v>0.32999999999999996</v>
      </c>
      <c r="AQ64" s="360">
        <f t="shared" si="26"/>
        <v>1.2539999999999998</v>
      </c>
      <c r="AR64" s="360">
        <f t="shared" si="73"/>
        <v>1.0559999999999998</v>
      </c>
      <c r="AS64" s="360">
        <f t="shared" si="74"/>
        <v>0.33073499999999995</v>
      </c>
      <c r="AT64" s="360">
        <f t="shared" si="75"/>
        <v>3.1553250629484508</v>
      </c>
      <c r="AU64">
        <f t="shared" si="76"/>
        <v>55</v>
      </c>
      <c r="AV64" s="542">
        <f t="shared" si="47"/>
        <v>0.94574314459539066</v>
      </c>
      <c r="AW64" s="551">
        <f t="shared" si="77"/>
        <v>88.757156834778115</v>
      </c>
      <c r="AX64" s="551">
        <f t="shared" si="78"/>
        <v>21.510693563427168</v>
      </c>
      <c r="AY64" s="9"/>
      <c r="AZ64" s="4">
        <f t="shared" si="48"/>
        <v>94.574314459539067</v>
      </c>
      <c r="BA64" s="360">
        <f t="shared" si="79"/>
        <v>0.3310839260141214</v>
      </c>
      <c r="BB64" s="360">
        <f t="shared" si="80"/>
        <v>2.355074019943646</v>
      </c>
      <c r="BC64" s="360">
        <f t="shared" si="81"/>
        <v>1.7751431366955623</v>
      </c>
      <c r="BD64" s="360">
        <f t="shared" si="82"/>
        <v>0.56607088324808341</v>
      </c>
      <c r="BE64" s="360">
        <f t="shared" si="83"/>
        <v>3.0281859071061137E-2</v>
      </c>
      <c r="BK64" s="18"/>
      <c r="BL64" s="19"/>
    </row>
    <row r="65" spans="1:64" x14ac:dyDescent="0.2">
      <c r="G65">
        <v>56</v>
      </c>
      <c r="H65" s="548">
        <f t="shared" si="49"/>
        <v>21</v>
      </c>
      <c r="I65" s="4">
        <f t="shared" si="50"/>
        <v>1</v>
      </c>
      <c r="J65" s="360">
        <f t="shared" si="84"/>
        <v>2.8</v>
      </c>
      <c r="K65" s="360">
        <f t="shared" si="51"/>
        <v>2.8</v>
      </c>
      <c r="L65" s="4">
        <f t="shared" si="52"/>
        <v>2.9629629629629628</v>
      </c>
      <c r="M65" s="360">
        <f t="shared" si="53"/>
        <v>0.95371737122287081</v>
      </c>
      <c r="N65" s="4">
        <f t="shared" si="54"/>
        <v>0.30900442827621055</v>
      </c>
      <c r="O65" s="4">
        <f t="shared" si="39"/>
        <v>2.9545022141381052</v>
      </c>
      <c r="P65" s="4">
        <f t="shared" si="40"/>
        <v>2.6454977858618944</v>
      </c>
      <c r="Q65" s="4">
        <f t="shared" si="55"/>
        <v>0</v>
      </c>
      <c r="R65" s="4">
        <f t="shared" si="41"/>
        <v>2.8014205285993494</v>
      </c>
      <c r="S65" s="360">
        <f t="shared" si="56"/>
        <v>3.1391827912231433E-2</v>
      </c>
      <c r="T65" s="360">
        <f t="shared" si="57"/>
        <v>0.3</v>
      </c>
      <c r="U65" s="360">
        <f t="shared" si="58"/>
        <v>0.33222616283476342</v>
      </c>
      <c r="V65" s="4">
        <f t="shared" si="42"/>
        <v>8.9201894923028296E-2</v>
      </c>
      <c r="W65" s="360">
        <f t="shared" si="10"/>
        <v>1.5913956115717962E-5</v>
      </c>
      <c r="X65" s="360">
        <f t="shared" si="43"/>
        <v>1.5913956115717962E-5</v>
      </c>
      <c r="Y65" s="4">
        <f t="shared" si="44"/>
        <v>0.5885686996783871</v>
      </c>
      <c r="Z65" s="360">
        <f t="shared" si="11"/>
        <v>3.4641311424110746E-4</v>
      </c>
      <c r="AA65" s="541">
        <f t="shared" si="45"/>
        <v>3.4641311424110746E-4</v>
      </c>
      <c r="AB65" s="360">
        <f t="shared" si="46"/>
        <v>2.7358239889626534</v>
      </c>
      <c r="AC65" s="360">
        <f t="shared" si="59"/>
        <v>4.4908397391501154E-2</v>
      </c>
      <c r="AD65" s="360">
        <f t="shared" si="60"/>
        <v>0.2091105760544672</v>
      </c>
      <c r="AE65" s="360">
        <f t="shared" si="61"/>
        <v>0.6042329999999998</v>
      </c>
      <c r="AF65" s="360">
        <f t="shared" si="62"/>
        <v>0</v>
      </c>
      <c r="AG65" s="360">
        <f t="shared" si="63"/>
        <v>0.86603038074428362</v>
      </c>
      <c r="AH65" s="360">
        <f t="shared" si="64"/>
        <v>0.60268074423722251</v>
      </c>
      <c r="AI65" s="360">
        <f t="shared" si="65"/>
        <v>9.0806019868583116E-4</v>
      </c>
      <c r="AJ65" s="360">
        <f t="shared" si="66"/>
        <v>0.10975999999999998</v>
      </c>
      <c r="AK65" s="360">
        <f t="shared" si="67"/>
        <v>0.11068333728293896</v>
      </c>
      <c r="AL65" s="360">
        <f t="shared" si="68"/>
        <v>0.10975999999999998</v>
      </c>
      <c r="AM65" s="360">
        <f t="shared" si="69"/>
        <v>1.4112</v>
      </c>
      <c r="AN65" s="360">
        <f t="shared" si="70"/>
        <v>3.1391827912231433E-2</v>
      </c>
      <c r="AO65" s="360">
        <f t="shared" si="71"/>
        <v>7.3499999999999998E-4</v>
      </c>
      <c r="AP65" s="360">
        <f t="shared" si="72"/>
        <v>0.32999999999999996</v>
      </c>
      <c r="AQ65" s="360">
        <f t="shared" si="26"/>
        <v>1.2539999999999998</v>
      </c>
      <c r="AR65" s="360">
        <f t="shared" si="73"/>
        <v>1.0559999999999998</v>
      </c>
      <c r="AS65" s="360">
        <f t="shared" si="74"/>
        <v>0.33073499999999995</v>
      </c>
      <c r="AT65" s="360">
        <f t="shared" si="75"/>
        <v>3.1923890358445739</v>
      </c>
      <c r="AU65">
        <f t="shared" si="76"/>
        <v>56</v>
      </c>
      <c r="AV65" s="542">
        <f t="shared" si="47"/>
        <v>0.94606757578391731</v>
      </c>
      <c r="AW65" s="551">
        <f t="shared" si="77"/>
        <v>89.871119037214186</v>
      </c>
      <c r="AX65" s="551">
        <f t="shared" si="78"/>
        <v>21.902414816751683</v>
      </c>
      <c r="AY65" s="9"/>
      <c r="AZ65" s="4">
        <f t="shared" si="48"/>
        <v>94.606757578391736</v>
      </c>
      <c r="BA65" s="360">
        <f t="shared" si="79"/>
        <v>0.33222616283476342</v>
      </c>
      <c r="BB65" s="360">
        <f t="shared" si="80"/>
        <v>2.3879137180272227</v>
      </c>
      <c r="BC65" s="360">
        <f t="shared" si="81"/>
        <v>1.7974223807442837</v>
      </c>
      <c r="BD65" s="360">
        <f t="shared" si="82"/>
        <v>0.576379337282939</v>
      </c>
      <c r="BE65" s="360">
        <f t="shared" si="83"/>
        <v>3.1391827912231433E-2</v>
      </c>
      <c r="BK65" s="18"/>
      <c r="BL65" s="19"/>
    </row>
    <row r="66" spans="1:64" x14ac:dyDescent="0.2">
      <c r="A66" s="11" t="s">
        <v>77</v>
      </c>
      <c r="B66" s="31"/>
      <c r="C66" s="31"/>
      <c r="G66">
        <v>57</v>
      </c>
      <c r="H66" s="548">
        <f t="shared" si="49"/>
        <v>21</v>
      </c>
      <c r="I66" s="4">
        <f t="shared" si="50"/>
        <v>1</v>
      </c>
      <c r="J66" s="360">
        <f t="shared" si="84"/>
        <v>2.85</v>
      </c>
      <c r="K66" s="360">
        <f t="shared" si="51"/>
        <v>2.85</v>
      </c>
      <c r="L66" s="4">
        <f t="shared" si="52"/>
        <v>3.0158730158730154</v>
      </c>
      <c r="M66" s="360">
        <f t="shared" si="53"/>
        <v>0.95374123422577262</v>
      </c>
      <c r="N66" s="4">
        <f t="shared" si="54"/>
        <v>0.30885320301677904</v>
      </c>
      <c r="O66" s="4">
        <f t="shared" si="39"/>
        <v>3.0044266015083898</v>
      </c>
      <c r="P66" s="4">
        <f t="shared" si="40"/>
        <v>2.6955733984916104</v>
      </c>
      <c r="Q66" s="4">
        <f t="shared" si="55"/>
        <v>0</v>
      </c>
      <c r="R66" s="4">
        <f t="shared" si="41"/>
        <v>2.8513942540012147</v>
      </c>
      <c r="S66" s="360">
        <f t="shared" si="56"/>
        <v>3.2521796767004577E-2</v>
      </c>
      <c r="T66" s="360">
        <f t="shared" si="57"/>
        <v>0.3</v>
      </c>
      <c r="U66" s="360">
        <f t="shared" si="58"/>
        <v>0.33338919000553868</v>
      </c>
      <c r="V66" s="4">
        <f t="shared" si="42"/>
        <v>8.9158239950907769E-2</v>
      </c>
      <c r="W66" s="360">
        <f t="shared" si="10"/>
        <v>1.5898383502287296E-5</v>
      </c>
      <c r="X66" s="360">
        <f t="shared" si="43"/>
        <v>1.5898383502287296E-5</v>
      </c>
      <c r="Y66" s="4">
        <f t="shared" si="44"/>
        <v>0.59892104050193884</v>
      </c>
      <c r="Z66" s="360">
        <f t="shared" si="11"/>
        <v>3.5870641275592506E-4</v>
      </c>
      <c r="AA66" s="541">
        <f t="shared" si="45"/>
        <v>3.5870641275592506E-4</v>
      </c>
      <c r="AB66" s="360">
        <f t="shared" si="46"/>
        <v>2.7846623937114301</v>
      </c>
      <c r="AC66" s="360">
        <f t="shared" si="59"/>
        <v>4.6526067881704027E-2</v>
      </c>
      <c r="AD66" s="360">
        <f t="shared" si="60"/>
        <v>0.21284469348401128</v>
      </c>
      <c r="AE66" s="360">
        <f t="shared" si="61"/>
        <v>0.6042329999999998</v>
      </c>
      <c r="AF66" s="360">
        <f t="shared" si="62"/>
        <v>0</v>
      </c>
      <c r="AG66" s="360">
        <f t="shared" si="63"/>
        <v>0.87171525801934002</v>
      </c>
      <c r="AH66" s="360">
        <f t="shared" si="64"/>
        <v>0.6132736296307485</v>
      </c>
      <c r="AI66" s="360">
        <f t="shared" si="65"/>
        <v>9.4026136200118127E-4</v>
      </c>
      <c r="AJ66" s="360">
        <f t="shared" si="66"/>
        <v>0.11172</v>
      </c>
      <c r="AK66" s="360">
        <f t="shared" si="67"/>
        <v>0.11267636503733439</v>
      </c>
      <c r="AL66" s="360">
        <f t="shared" si="68"/>
        <v>0.11172</v>
      </c>
      <c r="AM66" s="360">
        <f t="shared" si="69"/>
        <v>1.4363999999999997</v>
      </c>
      <c r="AN66" s="360">
        <f t="shared" si="70"/>
        <v>3.2521796767004577E-2</v>
      </c>
      <c r="AO66" s="360">
        <f t="shared" si="71"/>
        <v>7.3499999999999998E-4</v>
      </c>
      <c r="AP66" s="360">
        <f t="shared" si="72"/>
        <v>0.32999999999999996</v>
      </c>
      <c r="AQ66" s="360">
        <f t="shared" si="26"/>
        <v>1.2539999999999998</v>
      </c>
      <c r="AR66" s="360">
        <f t="shared" si="73"/>
        <v>1.0559999999999998</v>
      </c>
      <c r="AS66" s="360">
        <f t="shared" si="74"/>
        <v>0.33073499999999995</v>
      </c>
      <c r="AT66" s="360">
        <f t="shared" si="75"/>
        <v>3.2295322146254755</v>
      </c>
      <c r="AU66">
        <f t="shared" si="76"/>
        <v>57</v>
      </c>
      <c r="AV66" s="542">
        <f t="shared" si="47"/>
        <v>0.94637958994738369</v>
      </c>
      <c r="AW66" s="551">
        <f t="shared" si="77"/>
        <v>90.986962900967001</v>
      </c>
      <c r="AX66" s="551">
        <f t="shared" si="78"/>
        <v>22.294157871418705</v>
      </c>
      <c r="AY66" s="9"/>
      <c r="AZ66" s="4">
        <f t="shared" si="48"/>
        <v>94.637958994738369</v>
      </c>
      <c r="BA66" s="360">
        <f t="shared" si="79"/>
        <v>0.33338919000553868</v>
      </c>
      <c r="BB66" s="360">
        <f t="shared" si="80"/>
        <v>2.4207916230566742</v>
      </c>
      <c r="BC66" s="360">
        <f t="shared" si="81"/>
        <v>1.8197392580193399</v>
      </c>
      <c r="BD66" s="360">
        <f t="shared" si="82"/>
        <v>0.58668836503733435</v>
      </c>
      <c r="BE66" s="360">
        <f t="shared" si="83"/>
        <v>3.2521796767004577E-2</v>
      </c>
      <c r="BK66" s="18"/>
      <c r="BL66" s="19"/>
    </row>
    <row r="67" spans="1:64" x14ac:dyDescent="0.2">
      <c r="A67" s="14" t="s">
        <v>55</v>
      </c>
      <c r="B67" s="15" t="s">
        <v>7</v>
      </c>
      <c r="C67" s="15" t="s">
        <v>76</v>
      </c>
      <c r="G67">
        <v>58</v>
      </c>
      <c r="H67" s="548">
        <f t="shared" si="49"/>
        <v>21</v>
      </c>
      <c r="I67" s="4">
        <f t="shared" si="50"/>
        <v>1</v>
      </c>
      <c r="J67" s="360">
        <f t="shared" si="84"/>
        <v>2.9</v>
      </c>
      <c r="K67" s="360">
        <f t="shared" si="51"/>
        <v>2.9</v>
      </c>
      <c r="L67" s="4">
        <f t="shared" si="52"/>
        <v>3.0687830687830684</v>
      </c>
      <c r="M67" s="360">
        <f t="shared" si="53"/>
        <v>0.95376509717186198</v>
      </c>
      <c r="N67" s="4">
        <f t="shared" si="54"/>
        <v>0.308701969784626</v>
      </c>
      <c r="O67" s="4">
        <f t="shared" si="39"/>
        <v>3.0543509848923129</v>
      </c>
      <c r="P67" s="4">
        <f t="shared" si="40"/>
        <v>2.7456490151076869</v>
      </c>
      <c r="Q67" s="4">
        <f t="shared" si="55"/>
        <v>0</v>
      </c>
      <c r="R67" s="4">
        <f t="shared" si="41"/>
        <v>2.9013688853445956</v>
      </c>
      <c r="S67" s="360">
        <f t="shared" si="56"/>
        <v>3.3671765635382961E-2</v>
      </c>
      <c r="T67" s="360">
        <f t="shared" si="57"/>
        <v>0.3</v>
      </c>
      <c r="U67" s="360">
        <f t="shared" si="58"/>
        <v>0.33457301877747875</v>
      </c>
      <c r="V67" s="4">
        <f t="shared" si="42"/>
        <v>8.9114582677260773E-2</v>
      </c>
      <c r="W67" s="360">
        <f t="shared" si="10"/>
        <v>1.5882817691484694E-5</v>
      </c>
      <c r="X67" s="360">
        <f t="shared" si="43"/>
        <v>1.5882817691484694E-5</v>
      </c>
      <c r="Y67" s="4">
        <f t="shared" si="44"/>
        <v>0.60926837591896488</v>
      </c>
      <c r="Z67" s="360">
        <f t="shared" si="11"/>
        <v>3.7120795389493312E-4</v>
      </c>
      <c r="AA67" s="541">
        <f t="shared" si="45"/>
        <v>3.7120795389493312E-4</v>
      </c>
      <c r="AB67" s="360">
        <f t="shared" si="46"/>
        <v>2.8335029037914885</v>
      </c>
      <c r="AC67" s="360">
        <f t="shared" si="59"/>
        <v>4.8172432234768789E-2</v>
      </c>
      <c r="AD67" s="360">
        <f t="shared" si="60"/>
        <v>0.21657881091355533</v>
      </c>
      <c r="AE67" s="360">
        <f t="shared" si="61"/>
        <v>0.6042329999999998</v>
      </c>
      <c r="AF67" s="360">
        <f t="shared" si="62"/>
        <v>0</v>
      </c>
      <c r="AG67" s="360">
        <f t="shared" si="63"/>
        <v>0.87743790676913458</v>
      </c>
      <c r="AH67" s="360">
        <f t="shared" si="64"/>
        <v>0.62386112481139755</v>
      </c>
      <c r="AI67" s="360">
        <f t="shared" si="65"/>
        <v>9.7300675762735549E-4</v>
      </c>
      <c r="AJ67" s="360">
        <f t="shared" si="66"/>
        <v>0.11367999999999999</v>
      </c>
      <c r="AK67" s="360">
        <f t="shared" si="67"/>
        <v>0.1146699661047187</v>
      </c>
      <c r="AL67" s="360">
        <f t="shared" si="68"/>
        <v>0.11367999999999999</v>
      </c>
      <c r="AM67" s="360">
        <f t="shared" si="69"/>
        <v>1.4615999999999996</v>
      </c>
      <c r="AN67" s="360">
        <f t="shared" si="70"/>
        <v>3.3671765635382961E-2</v>
      </c>
      <c r="AO67" s="360">
        <f t="shared" si="71"/>
        <v>7.3499999999999998E-4</v>
      </c>
      <c r="AP67" s="360">
        <f t="shared" si="72"/>
        <v>0.32999999999999996</v>
      </c>
      <c r="AQ67" s="360">
        <f t="shared" si="26"/>
        <v>1.2539999999999998</v>
      </c>
      <c r="AR67" s="360">
        <f t="shared" si="73"/>
        <v>1.0559999999999998</v>
      </c>
      <c r="AS67" s="360">
        <f t="shared" si="74"/>
        <v>0.33073499999999995</v>
      </c>
      <c r="AT67" s="360">
        <f t="shared" si="75"/>
        <v>3.2667547480583008</v>
      </c>
      <c r="AU67">
        <f t="shared" si="76"/>
        <v>58</v>
      </c>
      <c r="AV67" s="542">
        <f t="shared" si="47"/>
        <v>0.94667981417504676</v>
      </c>
      <c r="AW67" s="551">
        <f t="shared" si="77"/>
        <v>92.104695338456708</v>
      </c>
      <c r="AX67" s="551">
        <f t="shared" si="78"/>
        <v>22.685922711979305</v>
      </c>
      <c r="AY67" s="9"/>
      <c r="AZ67" s="4">
        <f t="shared" si="48"/>
        <v>94.667981417504677</v>
      </c>
      <c r="BA67" s="360">
        <f t="shared" si="79"/>
        <v>0.33457301877747875</v>
      </c>
      <c r="BB67" s="360">
        <f t="shared" si="80"/>
        <v>2.4537078728738528</v>
      </c>
      <c r="BC67" s="360">
        <f t="shared" si="81"/>
        <v>1.8420939067691342</v>
      </c>
      <c r="BD67" s="360">
        <f t="shared" si="82"/>
        <v>0.59699796610471856</v>
      </c>
      <c r="BE67" s="360">
        <f t="shared" si="83"/>
        <v>3.3671765635382961E-2</v>
      </c>
      <c r="BK67" s="18"/>
      <c r="BL67" s="19"/>
    </row>
    <row r="68" spans="1:64" x14ac:dyDescent="0.2">
      <c r="A68" s="32" t="s">
        <v>208</v>
      </c>
      <c r="B68" s="449">
        <f>D1_Vinmin</f>
        <v>1</v>
      </c>
      <c r="C68" s="21" t="s">
        <v>18</v>
      </c>
      <c r="G68">
        <v>59</v>
      </c>
      <c r="H68" s="548">
        <f t="shared" si="49"/>
        <v>21</v>
      </c>
      <c r="I68" s="4">
        <f t="shared" si="50"/>
        <v>1</v>
      </c>
      <c r="J68" s="360">
        <f t="shared" si="84"/>
        <v>2.95</v>
      </c>
      <c r="K68" s="360">
        <f t="shared" si="51"/>
        <v>2.95</v>
      </c>
      <c r="L68" s="4">
        <f t="shared" si="52"/>
        <v>3.1216931216931214</v>
      </c>
      <c r="M68" s="360">
        <f t="shared" si="53"/>
        <v>0.95378896006113867</v>
      </c>
      <c r="N68" s="4">
        <f t="shared" si="54"/>
        <v>0.30855072857977878</v>
      </c>
      <c r="O68" s="4">
        <f t="shared" si="39"/>
        <v>3.1042753642898897</v>
      </c>
      <c r="P68" s="4">
        <f t="shared" si="40"/>
        <v>2.7957246357101107</v>
      </c>
      <c r="Q68" s="4">
        <f t="shared" si="55"/>
        <v>0</v>
      </c>
      <c r="R68" s="4">
        <f t="shared" si="41"/>
        <v>2.9513443766091174</v>
      </c>
      <c r="S68" s="360">
        <f t="shared" si="56"/>
        <v>3.4841734517369043E-2</v>
      </c>
      <c r="T68" s="360">
        <f t="shared" si="57"/>
        <v>0.3</v>
      </c>
      <c r="U68" s="360">
        <f t="shared" si="58"/>
        <v>0.3357776606059848</v>
      </c>
      <c r="V68" s="4">
        <f t="shared" si="42"/>
        <v>8.9070923102095217E-2</v>
      </c>
      <c r="W68" s="360">
        <f t="shared" si="10"/>
        <v>1.5867258684518717E-5</v>
      </c>
      <c r="X68" s="360">
        <f t="shared" si="43"/>
        <v>1.5867258684518717E-5</v>
      </c>
      <c r="Y68" s="4">
        <f t="shared" si="44"/>
        <v>0.61961069380990874</v>
      </c>
      <c r="Z68" s="360">
        <f t="shared" si="11"/>
        <v>3.8391741188359646E-4</v>
      </c>
      <c r="AA68" s="541">
        <f t="shared" si="45"/>
        <v>3.8391741188359646E-4</v>
      </c>
      <c r="AB68" s="360">
        <f t="shared" si="46"/>
        <v>2.8823454742643055</v>
      </c>
      <c r="AC68" s="360">
        <f t="shared" si="59"/>
        <v>4.9847492598071551E-2</v>
      </c>
      <c r="AD68" s="360">
        <f t="shared" si="60"/>
        <v>0.22031292834309937</v>
      </c>
      <c r="AE68" s="360">
        <f t="shared" si="61"/>
        <v>0.6042329999999998</v>
      </c>
      <c r="AF68" s="360">
        <f t="shared" si="62"/>
        <v>0</v>
      </c>
      <c r="AG68" s="360">
        <f t="shared" si="63"/>
        <v>0.88319846674793989</v>
      </c>
      <c r="AH68" s="360">
        <f t="shared" si="64"/>
        <v>0.63444321757769306</v>
      </c>
      <c r="AI68" s="360">
        <f t="shared" si="65"/>
        <v>1.00629549082584E-3</v>
      </c>
      <c r="AJ68" s="360">
        <f t="shared" si="66"/>
        <v>0.11564000000000001</v>
      </c>
      <c r="AK68" s="360">
        <f t="shared" si="67"/>
        <v>0.11666414007773725</v>
      </c>
      <c r="AL68" s="360">
        <f t="shared" si="68"/>
        <v>0.11564000000000001</v>
      </c>
      <c r="AM68" s="360">
        <f t="shared" si="69"/>
        <v>1.4868000000000001</v>
      </c>
      <c r="AN68" s="360">
        <f t="shared" si="70"/>
        <v>3.4841734517369043E-2</v>
      </c>
      <c r="AO68" s="360">
        <f t="shared" si="71"/>
        <v>7.3499999999999998E-4</v>
      </c>
      <c r="AP68" s="360">
        <f t="shared" si="72"/>
        <v>0.32999999999999996</v>
      </c>
      <c r="AQ68" s="360">
        <f t="shared" si="26"/>
        <v>1.2539999999999998</v>
      </c>
      <c r="AR68" s="360">
        <f t="shared" si="73"/>
        <v>1.0559999999999998</v>
      </c>
      <c r="AS68" s="360">
        <f t="shared" si="74"/>
        <v>0.33073499999999995</v>
      </c>
      <c r="AT68" s="360">
        <f t="shared" si="75"/>
        <v>3.3040567866195989</v>
      </c>
      <c r="AU68">
        <f t="shared" si="76"/>
        <v>59</v>
      </c>
      <c r="AV68" s="542">
        <f t="shared" si="47"/>
        <v>0.94696883386044328</v>
      </c>
      <c r="AW68" s="551">
        <f t="shared" si="77"/>
        <v>93.22432333739701</v>
      </c>
      <c r="AX68" s="551">
        <f t="shared" si="78"/>
        <v>23.077709322954021</v>
      </c>
      <c r="AY68" s="9"/>
      <c r="AZ68" s="4">
        <f t="shared" si="48"/>
        <v>94.696883386044334</v>
      </c>
      <c r="BA68" s="360">
        <f t="shared" si="79"/>
        <v>0.3357776606059848</v>
      </c>
      <c r="BB68" s="360">
        <f t="shared" si="80"/>
        <v>2.4866626068256772</v>
      </c>
      <c r="BC68" s="360">
        <f t="shared" si="81"/>
        <v>1.8644864667479402</v>
      </c>
      <c r="BD68" s="360">
        <f t="shared" si="82"/>
        <v>0.60730814007773737</v>
      </c>
      <c r="BE68" s="360">
        <f t="shared" si="83"/>
        <v>3.4841734517369043E-2</v>
      </c>
      <c r="BK68" s="18"/>
      <c r="BL68" s="19"/>
    </row>
    <row r="69" spans="1:64" x14ac:dyDescent="0.2">
      <c r="A69" s="23" t="s">
        <v>78</v>
      </c>
      <c r="B69" s="449">
        <f>1-B68</f>
        <v>0</v>
      </c>
      <c r="C69" s="21" t="s">
        <v>18</v>
      </c>
      <c r="G69">
        <v>60</v>
      </c>
      <c r="H69" s="548">
        <f t="shared" si="49"/>
        <v>21</v>
      </c>
      <c r="I69" s="4">
        <f t="shared" si="50"/>
        <v>1</v>
      </c>
      <c r="J69" s="360">
        <f t="shared" si="84"/>
        <v>3</v>
      </c>
      <c r="K69" s="360">
        <f t="shared" si="51"/>
        <v>3</v>
      </c>
      <c r="L69" s="4">
        <f t="shared" si="52"/>
        <v>3.1746031746031744</v>
      </c>
      <c r="M69" s="360">
        <f t="shared" si="53"/>
        <v>0.95381282289360292</v>
      </c>
      <c r="N69" s="4">
        <f t="shared" si="54"/>
        <v>0.30839947940226459</v>
      </c>
      <c r="O69" s="4">
        <f t="shared" si="39"/>
        <v>3.1541997397011321</v>
      </c>
      <c r="P69" s="4">
        <f t="shared" si="40"/>
        <v>2.8458002602988679</v>
      </c>
      <c r="Q69" s="4">
        <f t="shared" si="55"/>
        <v>0</v>
      </c>
      <c r="R69" s="4">
        <f t="shared" si="41"/>
        <v>3.001320684838809</v>
      </c>
      <c r="S69" s="360">
        <f t="shared" si="56"/>
        <v>3.6031703412965195E-2</v>
      </c>
      <c r="T69" s="360">
        <f t="shared" si="57"/>
        <v>0.3</v>
      </c>
      <c r="U69" s="360">
        <f t="shared" si="58"/>
        <v>0.3370031271511052</v>
      </c>
      <c r="V69" s="4">
        <f t="shared" si="42"/>
        <v>8.9027261225418958E-2</v>
      </c>
      <c r="W69" s="360">
        <f t="shared" si="10"/>
        <v>1.5851706482597973E-5</v>
      </c>
      <c r="X69" s="360">
        <f t="shared" si="43"/>
        <v>1.5851706482597973E-5</v>
      </c>
      <c r="Y69" s="4">
        <f t="shared" si="44"/>
        <v>0.62994798270552887</v>
      </c>
      <c r="Z69" s="360">
        <f t="shared" si="11"/>
        <v>3.9683446091476533E-4</v>
      </c>
      <c r="AA69" s="541">
        <f t="shared" si="45"/>
        <v>3.9683446091476533E-4</v>
      </c>
      <c r="AB69" s="360">
        <f t="shared" si="46"/>
        <v>2.9311900631819063</v>
      </c>
      <c r="AC69" s="360">
        <f t="shared" si="59"/>
        <v>5.1551251118978084E-2</v>
      </c>
      <c r="AD69" s="360">
        <f t="shared" si="60"/>
        <v>0.22404704577264345</v>
      </c>
      <c r="AE69" s="360">
        <f t="shared" si="61"/>
        <v>0.6042329999999998</v>
      </c>
      <c r="AF69" s="360">
        <f t="shared" si="62"/>
        <v>0</v>
      </c>
      <c r="AG69" s="360">
        <f t="shared" si="63"/>
        <v>0.8889970792266717</v>
      </c>
      <c r="AH69" s="360">
        <f t="shared" si="64"/>
        <v>0.64501989639463742</v>
      </c>
      <c r="AI69" s="360">
        <f t="shared" si="65"/>
        <v>1.0401266668623719E-3</v>
      </c>
      <c r="AJ69" s="360">
        <f t="shared" si="66"/>
        <v>0.1176</v>
      </c>
      <c r="AK69" s="360">
        <f t="shared" si="67"/>
        <v>0.11865888654823054</v>
      </c>
      <c r="AL69" s="360">
        <f t="shared" si="68"/>
        <v>0.1176</v>
      </c>
      <c r="AM69" s="360">
        <f t="shared" si="69"/>
        <v>1.5119999999999996</v>
      </c>
      <c r="AN69" s="360">
        <f t="shared" si="70"/>
        <v>3.6031703412965195E-2</v>
      </c>
      <c r="AO69" s="360">
        <f t="shared" si="71"/>
        <v>7.3499999999999998E-4</v>
      </c>
      <c r="AP69" s="360">
        <f t="shared" si="72"/>
        <v>0.32999999999999996</v>
      </c>
      <c r="AQ69" s="360">
        <f t="shared" si="26"/>
        <v>1.2539999999999998</v>
      </c>
      <c r="AR69" s="360">
        <f t="shared" si="73"/>
        <v>1.0559999999999998</v>
      </c>
      <c r="AS69" s="360">
        <f t="shared" si="74"/>
        <v>0.33073499999999995</v>
      </c>
      <c r="AT69" s="360">
        <f t="shared" si="75"/>
        <v>3.3414384825063692</v>
      </c>
      <c r="AU69">
        <f t="shared" si="76"/>
        <v>60</v>
      </c>
      <c r="AV69" s="542">
        <f t="shared" si="47"/>
        <v>0.94724719610797592</v>
      </c>
      <c r="AW69" s="551">
        <f t="shared" si="77"/>
        <v>94.345853961333574</v>
      </c>
      <c r="AX69" s="551">
        <f t="shared" si="78"/>
        <v>23.469517688832756</v>
      </c>
      <c r="AY69" s="9"/>
      <c r="AZ69" s="4">
        <f t="shared" si="48"/>
        <v>94.724719610797592</v>
      </c>
      <c r="BA69" s="360">
        <f t="shared" si="79"/>
        <v>0.3370031271511052</v>
      </c>
      <c r="BB69" s="360">
        <f t="shared" si="80"/>
        <v>2.519655965774902</v>
      </c>
      <c r="BC69" s="360">
        <f t="shared" si="81"/>
        <v>1.8869170792266714</v>
      </c>
      <c r="BD69" s="360">
        <f t="shared" si="82"/>
        <v>0.61761888654823038</v>
      </c>
      <c r="BE69" s="360">
        <f t="shared" si="83"/>
        <v>3.6031703412965195E-2</v>
      </c>
      <c r="BK69" s="18"/>
      <c r="BL69" s="19"/>
    </row>
    <row r="70" spans="1:64" x14ac:dyDescent="0.2">
      <c r="A70" s="33" t="s">
        <v>209</v>
      </c>
      <c r="B70" s="449">
        <f>Iripple_Vinnom</f>
        <v>0.31779257849666981</v>
      </c>
      <c r="C70" s="21" t="s">
        <v>1</v>
      </c>
      <c r="G70">
        <v>61</v>
      </c>
      <c r="H70" s="548">
        <f t="shared" si="49"/>
        <v>21</v>
      </c>
      <c r="I70" s="4">
        <f t="shared" si="50"/>
        <v>1</v>
      </c>
      <c r="J70" s="360">
        <f t="shared" si="84"/>
        <v>3.05</v>
      </c>
      <c r="K70" s="360">
        <f t="shared" si="51"/>
        <v>3.05</v>
      </c>
      <c r="L70" s="4">
        <f t="shared" si="52"/>
        <v>3.227513227513227</v>
      </c>
      <c r="M70" s="360">
        <f t="shared" si="53"/>
        <v>0.95383668566925495</v>
      </c>
      <c r="N70" s="4">
        <f t="shared" si="54"/>
        <v>0.30824822225211423</v>
      </c>
      <c r="O70" s="4">
        <f t="shared" si="39"/>
        <v>3.204124111126057</v>
      </c>
      <c r="P70" s="4">
        <f t="shared" si="40"/>
        <v>2.8958758888739426</v>
      </c>
      <c r="Q70" s="4">
        <f t="shared" si="55"/>
        <v>0</v>
      </c>
      <c r="R70" s="4">
        <f t="shared" si="41"/>
        <v>3.0512977698912742</v>
      </c>
      <c r="S70" s="360">
        <f t="shared" si="56"/>
        <v>3.7241672322173854E-2</v>
      </c>
      <c r="T70" s="360">
        <f t="shared" si="57"/>
        <v>0.3</v>
      </c>
      <c r="U70" s="360">
        <f t="shared" si="58"/>
        <v>0.33824943027781929</v>
      </c>
      <c r="V70" s="4">
        <f t="shared" si="42"/>
        <v>8.8983597047240875E-2</v>
      </c>
      <c r="W70" s="360">
        <f t="shared" si="10"/>
        <v>1.5836161086931472E-5</v>
      </c>
      <c r="X70" s="360">
        <f t="shared" si="43"/>
        <v>1.5836161086931472E-5</v>
      </c>
      <c r="Y70" s="4">
        <f t="shared" si="44"/>
        <v>0.64028023173348148</v>
      </c>
      <c r="Z70" s="360">
        <f t="shared" si="11"/>
        <v>4.0995877514868074E-4</v>
      </c>
      <c r="AA70" s="541">
        <f t="shared" si="45"/>
        <v>4.0995877514868074E-4</v>
      </c>
      <c r="AB70" s="360">
        <f t="shared" si="46"/>
        <v>2.9800366313420854</v>
      </c>
      <c r="AC70" s="360">
        <f t="shared" si="59"/>
        <v>5.3283709944844104E-2</v>
      </c>
      <c r="AD70" s="360">
        <f t="shared" si="60"/>
        <v>0.2277811632021875</v>
      </c>
      <c r="AE70" s="360">
        <f t="shared" si="61"/>
        <v>0.6042329999999998</v>
      </c>
      <c r="AF70" s="360">
        <f t="shared" si="62"/>
        <v>0</v>
      </c>
      <c r="AG70" s="360">
        <f t="shared" si="63"/>
        <v>0.89483388700381716</v>
      </c>
      <c r="AH70" s="360">
        <f t="shared" si="64"/>
        <v>0.65559115033897453</v>
      </c>
      <c r="AI70" s="360">
        <f t="shared" si="65"/>
        <v>1.0744993910069497E-3</v>
      </c>
      <c r="AJ70" s="360">
        <f t="shared" si="66"/>
        <v>0.11955999999999999</v>
      </c>
      <c r="AK70" s="360">
        <f t="shared" si="67"/>
        <v>0.12065420510723328</v>
      </c>
      <c r="AL70" s="360">
        <f t="shared" si="68"/>
        <v>0.11955999999999999</v>
      </c>
      <c r="AM70" s="360">
        <f t="shared" si="69"/>
        <v>1.5371999999999997</v>
      </c>
      <c r="AN70" s="360">
        <f t="shared" si="70"/>
        <v>3.7241672322173854E-2</v>
      </c>
      <c r="AO70" s="360">
        <f t="shared" si="71"/>
        <v>7.3499999999999998E-4</v>
      </c>
      <c r="AP70" s="360">
        <f t="shared" si="72"/>
        <v>0.32999999999999996</v>
      </c>
      <c r="AQ70" s="360">
        <f t="shared" si="26"/>
        <v>1.2539999999999998</v>
      </c>
      <c r="AR70" s="360">
        <f t="shared" si="73"/>
        <v>1.0559999999999998</v>
      </c>
      <c r="AS70" s="360">
        <f t="shared" si="74"/>
        <v>0.33073499999999995</v>
      </c>
      <c r="AT70" s="360">
        <f t="shared" si="75"/>
        <v>3.3788999896472784</v>
      </c>
      <c r="AU70">
        <f t="shared" si="76"/>
        <v>61</v>
      </c>
      <c r="AV70" s="542">
        <f t="shared" si="47"/>
        <v>0.94751541281086449</v>
      </c>
      <c r="AW70" s="551">
        <f t="shared" si="77"/>
        <v>95.46929435019085</v>
      </c>
      <c r="AX70" s="551">
        <f t="shared" si="78"/>
        <v>23.86134779407486</v>
      </c>
      <c r="AY70" s="9"/>
      <c r="AZ70" s="4">
        <f t="shared" si="48"/>
        <v>94.751541281086446</v>
      </c>
      <c r="BA70" s="360">
        <f t="shared" si="79"/>
        <v>0.33824943027781929</v>
      </c>
      <c r="BB70" s="360">
        <f t="shared" si="80"/>
        <v>2.5526880921110502</v>
      </c>
      <c r="BC70" s="360">
        <f t="shared" si="81"/>
        <v>1.909385887003817</v>
      </c>
      <c r="BD70" s="360">
        <f t="shared" si="82"/>
        <v>0.62793020510723319</v>
      </c>
      <c r="BE70" s="360">
        <f t="shared" si="83"/>
        <v>3.7241672322173854E-2</v>
      </c>
      <c r="BK70" s="18"/>
      <c r="BL70" s="19"/>
    </row>
    <row r="71" spans="1:64" x14ac:dyDescent="0.2">
      <c r="A71" s="14" t="s">
        <v>59</v>
      </c>
      <c r="B71" s="15" t="s">
        <v>7</v>
      </c>
      <c r="C71" s="17" t="s">
        <v>76</v>
      </c>
      <c r="G71">
        <v>62</v>
      </c>
      <c r="H71" s="548">
        <f t="shared" si="49"/>
        <v>21</v>
      </c>
      <c r="I71" s="4">
        <f t="shared" si="50"/>
        <v>1</v>
      </c>
      <c r="J71" s="360">
        <f t="shared" si="84"/>
        <v>3.1</v>
      </c>
      <c r="K71" s="360">
        <f t="shared" si="51"/>
        <v>3.1</v>
      </c>
      <c r="L71" s="4">
        <f t="shared" si="52"/>
        <v>3.28042328042328</v>
      </c>
      <c r="M71" s="360">
        <f t="shared" si="53"/>
        <v>0.95386054838809509</v>
      </c>
      <c r="N71" s="4">
        <f t="shared" si="54"/>
        <v>0.30809695712935509</v>
      </c>
      <c r="O71" s="4">
        <f t="shared" si="39"/>
        <v>3.2540484785646777</v>
      </c>
      <c r="P71" s="4">
        <f t="shared" si="40"/>
        <v>2.9459515214353225</v>
      </c>
      <c r="Q71" s="4">
        <f t="shared" si="55"/>
        <v>0</v>
      </c>
      <c r="R71" s="4">
        <f t="shared" si="41"/>
        <v>3.1012755942110926</v>
      </c>
      <c r="S71" s="360">
        <f t="shared" si="56"/>
        <v>3.8471641244997468E-2</v>
      </c>
      <c r="T71" s="360">
        <f t="shared" si="57"/>
        <v>0.3</v>
      </c>
      <c r="U71" s="360">
        <f t="shared" si="58"/>
        <v>0.33951658205632534</v>
      </c>
      <c r="V71" s="4">
        <f t="shared" si="42"/>
        <v>8.8939930567568881E-2</v>
      </c>
      <c r="W71" s="360">
        <f t="shared" si="10"/>
        <v>1.5820622498727947E-5</v>
      </c>
      <c r="X71" s="360">
        <f t="shared" si="43"/>
        <v>1.5820622498727947E-5</v>
      </c>
      <c r="Y71" s="4">
        <f t="shared" si="44"/>
        <v>0.6506074305700581</v>
      </c>
      <c r="Z71" s="360">
        <f t="shared" si="11"/>
        <v>4.2329002871297297E-4</v>
      </c>
      <c r="AA71" s="541">
        <f t="shared" si="45"/>
        <v>4.2329002871297297E-4</v>
      </c>
      <c r="AB71" s="360">
        <f t="shared" si="46"/>
        <v>3.0288851420672649</v>
      </c>
      <c r="AC71" s="360">
        <f t="shared" si="59"/>
        <v>5.5044871223015011E-2</v>
      </c>
      <c r="AD71" s="360">
        <f t="shared" si="60"/>
        <v>0.23151528063173157</v>
      </c>
      <c r="AE71" s="360">
        <f t="shared" si="61"/>
        <v>0.6042329999999998</v>
      </c>
      <c r="AF71" s="360">
        <f t="shared" si="62"/>
        <v>0</v>
      </c>
      <c r="AG71" s="360">
        <f t="shared" si="63"/>
        <v>0.90070903441651906</v>
      </c>
      <c r="AH71" s="360">
        <f t="shared" si="64"/>
        <v>0.66615696904973631</v>
      </c>
      <c r="AI71" s="360">
        <f t="shared" si="65"/>
        <v>1.1094127685338285E-3</v>
      </c>
      <c r="AJ71" s="360">
        <f t="shared" si="66"/>
        <v>0.12152</v>
      </c>
      <c r="AK71" s="360">
        <f t="shared" si="67"/>
        <v>0.12265009534497315</v>
      </c>
      <c r="AL71" s="360">
        <f t="shared" si="68"/>
        <v>0.12152</v>
      </c>
      <c r="AM71" s="360">
        <f t="shared" si="69"/>
        <v>1.5624000000000002</v>
      </c>
      <c r="AN71" s="360">
        <f t="shared" si="70"/>
        <v>3.8471641244997468E-2</v>
      </c>
      <c r="AO71" s="360">
        <f t="shared" si="71"/>
        <v>7.3499999999999998E-4</v>
      </c>
      <c r="AP71" s="360">
        <f t="shared" si="72"/>
        <v>0.32999999999999996</v>
      </c>
      <c r="AQ71" s="360">
        <f t="shared" si="26"/>
        <v>1.2539999999999998</v>
      </c>
      <c r="AR71" s="360">
        <f t="shared" si="73"/>
        <v>1.0559999999999998</v>
      </c>
      <c r="AS71" s="360">
        <f t="shared" si="74"/>
        <v>0.33073499999999995</v>
      </c>
      <c r="AT71" s="360">
        <f t="shared" si="75"/>
        <v>3.4164414637140266</v>
      </c>
      <c r="AU71">
        <f t="shared" si="76"/>
        <v>62</v>
      </c>
      <c r="AV71" s="542">
        <f t="shared" si="47"/>
        <v>0.94777396343686637</v>
      </c>
      <c r="AW71" s="551">
        <f t="shared" si="77"/>
        <v>96.594651720825951</v>
      </c>
      <c r="AX71" s="551">
        <f t="shared" si="78"/>
        <v>24.253199623108983</v>
      </c>
      <c r="AY71" s="9"/>
      <c r="AZ71" s="4">
        <f t="shared" si="48"/>
        <v>94.777396343686632</v>
      </c>
      <c r="BA71" s="360">
        <f t="shared" si="79"/>
        <v>0.33951658205632534</v>
      </c>
      <c r="BB71" s="360">
        <f t="shared" si="80"/>
        <v>2.5857591297614926</v>
      </c>
      <c r="BC71" s="360">
        <f t="shared" si="81"/>
        <v>1.9318930344165191</v>
      </c>
      <c r="BD71" s="360">
        <f t="shared" si="82"/>
        <v>0.63824209534497323</v>
      </c>
      <c r="BE71" s="360">
        <f t="shared" si="83"/>
        <v>3.8471641244997468E-2</v>
      </c>
      <c r="BK71" s="18"/>
      <c r="BL71" s="19"/>
    </row>
    <row r="72" spans="1:64" x14ac:dyDescent="0.2">
      <c r="A72" s="32" t="s">
        <v>88</v>
      </c>
      <c r="B72" s="450">
        <f>(Qgd_Q1+Qgs_Q1/2)*(RdsonDRT+Rgate1)/(VCC-Vsp_Q1)*1000000000</f>
        <v>2.4482225656877898</v>
      </c>
      <c r="C72" s="21" t="s">
        <v>75</v>
      </c>
      <c r="D72" s="114" t="s">
        <v>508</v>
      </c>
      <c r="G72">
        <v>63</v>
      </c>
      <c r="H72" s="548">
        <f t="shared" si="49"/>
        <v>21</v>
      </c>
      <c r="I72" s="4">
        <f t="shared" si="50"/>
        <v>1</v>
      </c>
      <c r="J72" s="360">
        <f t="shared" si="84"/>
        <v>3.15</v>
      </c>
      <c r="K72" s="360">
        <f t="shared" si="51"/>
        <v>3.15</v>
      </c>
      <c r="L72" s="4">
        <f t="shared" si="52"/>
        <v>3.333333333333333</v>
      </c>
      <c r="M72" s="360">
        <f t="shared" si="53"/>
        <v>0.95388441105012367</v>
      </c>
      <c r="N72" s="4">
        <f t="shared" si="54"/>
        <v>0.30794568403401451</v>
      </c>
      <c r="O72" s="4">
        <f t="shared" si="39"/>
        <v>3.3039728420170071</v>
      </c>
      <c r="P72" s="4">
        <f t="shared" si="40"/>
        <v>2.9960271579829927</v>
      </c>
      <c r="Q72" s="4">
        <f t="shared" si="55"/>
        <v>0</v>
      </c>
      <c r="R72" s="4">
        <f t="shared" si="41"/>
        <v>3.1512541226247683</v>
      </c>
      <c r="S72" s="360">
        <f t="shared" si="56"/>
        <v>3.9721610181438397E-2</v>
      </c>
      <c r="T72" s="360">
        <f t="shared" si="57"/>
        <v>0.3</v>
      </c>
      <c r="U72" s="360">
        <f t="shared" si="58"/>
        <v>0.34080459476233377</v>
      </c>
      <c r="V72" s="4">
        <f t="shared" si="42"/>
        <v>8.8896261786410871E-2</v>
      </c>
      <c r="W72" s="360">
        <f t="shared" si="10"/>
        <v>1.5805090719196185E-5</v>
      </c>
      <c r="X72" s="360">
        <f t="shared" si="43"/>
        <v>1.5805090719196185E-5</v>
      </c>
      <c r="Y72" s="4">
        <f t="shared" si="44"/>
        <v>0.66092956939651482</v>
      </c>
      <c r="Z72" s="360">
        <f t="shared" si="11"/>
        <v>4.3682789570266252E-4</v>
      </c>
      <c r="AA72" s="541">
        <f t="shared" si="45"/>
        <v>4.3682789570266252E-4</v>
      </c>
      <c r="AB72" s="360">
        <f t="shared" si="46"/>
        <v>3.0777355610043871</v>
      </c>
      <c r="AC72" s="360">
        <f t="shared" si="59"/>
        <v>5.6834737100825934E-2</v>
      </c>
      <c r="AD72" s="360">
        <f t="shared" si="60"/>
        <v>0.23524939806127559</v>
      </c>
      <c r="AE72" s="360">
        <f t="shared" si="61"/>
        <v>0.6042329999999998</v>
      </c>
      <c r="AF72" s="360">
        <f t="shared" si="62"/>
        <v>0</v>
      </c>
      <c r="AG72" s="360">
        <f t="shared" si="63"/>
        <v>0.9066226673518194</v>
      </c>
      <c r="AH72" s="360">
        <f t="shared" si="64"/>
        <v>0.67671734268349348</v>
      </c>
      <c r="AI72" s="360">
        <f t="shared" si="65"/>
        <v>1.144865904721522E-3</v>
      </c>
      <c r="AJ72" s="360">
        <f t="shared" si="66"/>
        <v>0.12347999999999999</v>
      </c>
      <c r="AK72" s="360">
        <f t="shared" si="67"/>
        <v>0.1246465568508696</v>
      </c>
      <c r="AL72" s="360">
        <f t="shared" si="68"/>
        <v>0.12347999999999999</v>
      </c>
      <c r="AM72" s="360">
        <f t="shared" si="69"/>
        <v>1.5875999999999997</v>
      </c>
      <c r="AN72" s="360">
        <f t="shared" si="70"/>
        <v>3.9721610181438397E-2</v>
      </c>
      <c r="AO72" s="360">
        <f t="shared" si="71"/>
        <v>7.3499999999999998E-4</v>
      </c>
      <c r="AP72" s="360">
        <f t="shared" si="72"/>
        <v>0.32999999999999996</v>
      </c>
      <c r="AQ72" s="360">
        <f t="shared" si="26"/>
        <v>1.2539999999999998</v>
      </c>
      <c r="AR72" s="360">
        <f t="shared" si="73"/>
        <v>1.0559999999999998</v>
      </c>
      <c r="AS72" s="360">
        <f t="shared" si="74"/>
        <v>0.33073499999999995</v>
      </c>
      <c r="AT72" s="360">
        <f t="shared" si="75"/>
        <v>3.4540630621328825</v>
      </c>
      <c r="AU72">
        <f t="shared" si="76"/>
        <v>63</v>
      </c>
      <c r="AV72" s="542">
        <f t="shared" si="47"/>
        <v>0.94802329755362846</v>
      </c>
      <c r="AW72" s="551">
        <f t="shared" si="77"/>
        <v>97.721933367590964</v>
      </c>
      <c r="AX72" s="551">
        <f t="shared" si="78"/>
        <v>24.645073160333041</v>
      </c>
      <c r="AY72" s="9"/>
      <c r="AZ72" s="4">
        <f t="shared" si="48"/>
        <v>94.802329755362848</v>
      </c>
      <c r="BA72" s="360">
        <f t="shared" si="79"/>
        <v>0.34080459476233377</v>
      </c>
      <c r="BB72" s="360">
        <f t="shared" si="80"/>
        <v>2.6188692242026885</v>
      </c>
      <c r="BC72" s="360">
        <f t="shared" si="81"/>
        <v>1.9544386673518193</v>
      </c>
      <c r="BD72" s="360">
        <f t="shared" si="82"/>
        <v>0.64855455685086949</v>
      </c>
      <c r="BE72" s="360">
        <f t="shared" si="83"/>
        <v>3.9721610181438397E-2</v>
      </c>
      <c r="BK72" s="18"/>
      <c r="BL72" s="19"/>
    </row>
    <row r="73" spans="1:64" x14ac:dyDescent="0.2">
      <c r="A73" s="33" t="s">
        <v>89</v>
      </c>
      <c r="B73" s="450">
        <f>(Qgd_Q1+Qgs_Q1/2)*(RdsonDRT2+Rgate1)/(Vsp_Q1)*1000000000</f>
        <v>1.1080797481636935</v>
      </c>
      <c r="C73" s="21" t="s">
        <v>75</v>
      </c>
      <c r="D73" s="114" t="s">
        <v>509</v>
      </c>
      <c r="G73">
        <v>64</v>
      </c>
      <c r="H73" s="548">
        <f t="shared" ref="H73:H109" si="85">Vin</f>
        <v>21</v>
      </c>
      <c r="I73" s="4">
        <f t="shared" ref="I73:I109" si="86">MODE</f>
        <v>1</v>
      </c>
      <c r="J73" s="360">
        <f t="shared" si="84"/>
        <v>3.2</v>
      </c>
      <c r="K73" s="360">
        <f t="shared" ref="K73:K109" si="87">Iout*G73/100/Number_of_Phases</f>
        <v>3.2</v>
      </c>
      <c r="L73" s="4">
        <f t="shared" ref="L73:L104" si="88">Vout*K73/(Vin*Efficiency)</f>
        <v>3.3862433862433861</v>
      </c>
      <c r="M73" s="360">
        <f t="shared" ref="M73:M109" si="89">(Vout+(Rdson2+Rs+Rdcr)*K73)/(Vin+(Rs+Rdson2-Rdson1)*K73)</f>
        <v>0.95390827365534059</v>
      </c>
      <c r="N73" s="4">
        <f t="shared" ref="N73:N104" si="90">(Vin-(Rdson1+Rdcr)*K73-Vout)*M73/(Fsw*Lf)</f>
        <v>0.3077944029661232</v>
      </c>
      <c r="O73" s="4">
        <f t="shared" si="39"/>
        <v>3.3538972014830617</v>
      </c>
      <c r="P73" s="4">
        <f t="shared" si="40"/>
        <v>3.0461027985169387</v>
      </c>
      <c r="Q73" s="4">
        <f t="shared" ref="Q73:Q104" si="91">IF(MIN(Vin, -P73/(Coss_Q1+Coss_Q2)*0.00000002)&lt;0, 0, MIN(Vin, -P73/(Coss_Q1+Coss_Q2)*0.00000002))</f>
        <v>0</v>
      </c>
      <c r="R73" s="4">
        <f t="shared" si="41"/>
        <v>3.2012333221548808</v>
      </c>
      <c r="S73" s="360">
        <f t="shared" ref="S73:S104" si="92">R73^2*Rdcr</f>
        <v>4.0991579131499103E-2</v>
      </c>
      <c r="T73" s="360">
        <f t="shared" ref="T73:T109" si="93">Core_Loss_Ch1</f>
        <v>0.3</v>
      </c>
      <c r="U73" s="360">
        <f t="shared" ref="U73:U104" si="94">(T73+S73*(1+Ltc*(Ta-25)))/(1-S73*Ltc*ThetaCa)</f>
        <v>0.34211348087736604</v>
      </c>
      <c r="V73" s="4">
        <f t="shared" si="42"/>
        <v>8.88525907037757E-2</v>
      </c>
      <c r="W73" s="360">
        <f t="shared" si="10"/>
        <v>1.5789565749545377E-5</v>
      </c>
      <c r="X73" s="360">
        <f t="shared" si="43"/>
        <v>1.5789565749545377E-5</v>
      </c>
      <c r="Y73" s="4">
        <f t="shared" si="44"/>
        <v>0.6712466388594921</v>
      </c>
      <c r="Z73" s="360">
        <f t="shared" si="11"/>
        <v>4.5057205018016541E-4</v>
      </c>
      <c r="AA73" s="541">
        <f t="shared" si="45"/>
        <v>4.5057205018016541E-4</v>
      </c>
      <c r="AB73" s="360">
        <f t="shared" si="46"/>
        <v>3.1265878559435438</v>
      </c>
      <c r="AC73" s="360">
        <f t="shared" ref="AC73:AC104" si="95">Rdson1*AB73^2</f>
        <v>5.8653309725601878E-2</v>
      </c>
      <c r="AD73" s="360">
        <f t="shared" ref="AD73:AD109" si="96">(Vin*K73/2)*Fsw*(Tr_buck+Tf_buck)</f>
        <v>0.23898351549081967</v>
      </c>
      <c r="AE73" s="360">
        <f t="shared" ref="AE73:AE109" si="97">(0.5*Coss_Q1*(Vin-Q73)^2-0.5*Coss_Q2*(Vin-Q73)^2+(Qoss_Q2*(Vin-Q73)/Vin)*Vin)*Fsw</f>
        <v>0.6042329999999998</v>
      </c>
      <c r="AF73" s="360">
        <f t="shared" ref="AF73:AF109" si="98">IF(K73&gt;N73/2,0,ABS(K73-N73/2)*Vsd_Q1*Deadtime*Fsw)</f>
        <v>0</v>
      </c>
      <c r="AG73" s="360">
        <f t="shared" ref="AG73:AG104" si="99">(AF73+AE73+AD73+AC73*(1+RdsonTopTc*Ta-RdsonTopTc*25))/(1-AC73*RdsonTopTc*ThetaJA_Q1)</f>
        <v>0.91257493325806249</v>
      </c>
      <c r="AH73" s="360">
        <f t="shared" ref="AH73:AH109" si="100">SQRT((1-M73))*SQRT(K73^2+(N73^2)/12)</f>
        <v>0.68727226187379842</v>
      </c>
      <c r="AI73" s="360">
        <f t="shared" ref="AI73:AI104" si="101">Rdson2*AH73^2</f>
        <v>1.1808579048528175E-3</v>
      </c>
      <c r="AJ73" s="360">
        <f t="shared" ref="AJ73:AJ109" si="102">IF(K73&lt;N73/2,Deadtime*Fsw*IF(VfdSky_Q2&gt;0,0,Vsd_Q2)*(K73+N73/2),2*Deadtime*Fsw*IF(VfdSky_Q2&gt;0,0,Vsd_Q2)*K73)</f>
        <v>0.12544</v>
      </c>
      <c r="AK73" s="360">
        <f t="shared" ref="AK73:AK104" si="103">(AJ73+AI73*(1+RdsonBotTc*Ta-RdsonBotTc*25))/(1-AI73*RdsonBotTc*ThetaJA_Q2)</f>
        <v>0.12664358921353291</v>
      </c>
      <c r="AL73" s="360">
        <f t="shared" ref="AL73:AL109" si="104">2*Deadtime*Fsw*IF(VfdSky_Q2&gt;0,VfdSky_Q2,Vsd_Q2)*K73</f>
        <v>0.12544</v>
      </c>
      <c r="AM73" s="360">
        <f t="shared" ref="AM73:AM109" si="105">IF(QrrSky_Q2&gt;0,QrrSky_Q2,Qrr_Q2*K73/(Iout/Number_of_Phases))*Fsw*Vin</f>
        <v>1.6127999999999998</v>
      </c>
      <c r="AN73" s="360">
        <f t="shared" ref="AN73:AN109" si="106">CHOOSE(SENSING_TYPE, Rs*R73^2, 0)</f>
        <v>4.0991579131499103E-2</v>
      </c>
      <c r="AO73" s="360">
        <f t="shared" ref="AO73:AO109" si="107">Iq*Vin</f>
        <v>7.3499999999999998E-4</v>
      </c>
      <c r="AP73" s="360">
        <f t="shared" ref="AP73:AP109" si="108">IF(Ext_VCC=1,  (Qg_Q1+Qg_Q2)*Fsw*VCC, (Qg_Q1+Qg_Q2)*Fsw*Vin)</f>
        <v>0.32999999999999996</v>
      </c>
      <c r="AQ73" s="360">
        <f t="shared" ref="AQ73:AQ109" si="109">(Vin-VCC)*Fsw*(Qg_Q1+Qg_Q2)+(RdsonDRT+RdsonDRT2)*Fsw*Qg_Q1*VCC/(RdsonDRT+2*Rgate1+RdsonDRT2)+(RdsonDRB+RdsonDRB2)*Fsw*Qg_Q2*VCC/(RdsonDRB+2*Rgate2+RdsonDRB2)</f>
        <v>1.2539999999999998</v>
      </c>
      <c r="AR73" s="360">
        <f t="shared" ref="AR73:AR109" si="110">(Qg_Q1+Qg_Q2)*Fsw*(Vin-VCC)</f>
        <v>1.0559999999999998</v>
      </c>
      <c r="AS73" s="360">
        <f t="shared" si="74"/>
        <v>0.33073499999999995</v>
      </c>
      <c r="AT73" s="360">
        <f t="shared" ref="AT73:AT104" si="111" xml:space="preserve"> SUM(U73,X73,AA73,AG73,AK73,AL73,AM73,AS73,AN73)</f>
        <v>3.4917649440963903</v>
      </c>
      <c r="AU73">
        <f t="shared" ref="AU73:AU109" si="112">Vout*K73</f>
        <v>64</v>
      </c>
      <c r="AV73" s="542">
        <f t="shared" si="47"/>
        <v>0.94826383712163065</v>
      </c>
      <c r="AW73" s="551">
        <f t="shared" ref="AW73:AW109" si="113">ThetaJA_Q1*BC73</f>
        <v>98.851146662903105</v>
      </c>
      <c r="AX73" s="551">
        <f t="shared" ref="AX73:AX109" si="114">ThetaJA_Q2*BD73</f>
        <v>25.036968390114247</v>
      </c>
      <c r="AY73" s="9"/>
      <c r="AZ73" s="4">
        <f t="shared" si="48"/>
        <v>94.826383712163064</v>
      </c>
      <c r="BA73" s="360">
        <f t="shared" ref="BA73:BA109" si="115">U73</f>
        <v>0.34211348087736604</v>
      </c>
      <c r="BB73" s="360">
        <f t="shared" si="80"/>
        <v>2.6520185224715949</v>
      </c>
      <c r="BC73" s="360">
        <f t="shared" si="81"/>
        <v>1.9770229332580622</v>
      </c>
      <c r="BD73" s="360">
        <f t="shared" si="82"/>
        <v>0.65886758921353283</v>
      </c>
      <c r="BE73" s="360">
        <f t="shared" si="83"/>
        <v>4.0991579131499103E-2</v>
      </c>
      <c r="BK73" s="18"/>
      <c r="BL73" s="19"/>
    </row>
    <row r="74" spans="1:64" x14ac:dyDescent="0.2">
      <c r="A74" s="14" t="s">
        <v>114</v>
      </c>
      <c r="B74" s="15" t="s">
        <v>7</v>
      </c>
      <c r="C74" s="17" t="s">
        <v>76</v>
      </c>
      <c r="G74">
        <v>65</v>
      </c>
      <c r="H74" s="548">
        <f t="shared" si="85"/>
        <v>21</v>
      </c>
      <c r="I74" s="4">
        <f t="shared" si="86"/>
        <v>1</v>
      </c>
      <c r="J74" s="360">
        <f t="shared" ref="J74:J109" si="116">Iout*G74/100</f>
        <v>3.25</v>
      </c>
      <c r="K74" s="360">
        <f t="shared" si="87"/>
        <v>3.25</v>
      </c>
      <c r="L74" s="4">
        <f t="shared" si="88"/>
        <v>3.4391534391534386</v>
      </c>
      <c r="M74" s="360">
        <f t="shared" si="89"/>
        <v>0.95393213620374606</v>
      </c>
      <c r="N74" s="4">
        <f t="shared" si="90"/>
        <v>0.30764311392570848</v>
      </c>
      <c r="O74" s="4">
        <f t="shared" ref="O74:O109" si="117">K74+N74/2</f>
        <v>3.4038215569628543</v>
      </c>
      <c r="P74" s="4">
        <f t="shared" ref="P74:P109" si="118">K74-N74/2</f>
        <v>3.0961784430371457</v>
      </c>
      <c r="Q74" s="4">
        <f t="shared" si="91"/>
        <v>0</v>
      </c>
      <c r="R74" s="4">
        <f t="shared" ref="R74:R109" si="119">SQRT(K74^2+(N74^2)/12)</f>
        <v>3.2512131618513562</v>
      </c>
      <c r="S74" s="360">
        <f t="shared" si="92"/>
        <v>4.2281548095181976E-2</v>
      </c>
      <c r="T74" s="360">
        <f t="shared" si="93"/>
        <v>0.3</v>
      </c>
      <c r="U74" s="360">
        <f t="shared" si="94"/>
        <v>0.34344325308905799</v>
      </c>
      <c r="V74" s="4">
        <f t="shared" ref="V74:V109" si="120">N74/SQRT(12)</f>
        <v>8.8808917319671249E-2</v>
      </c>
      <c r="W74" s="360">
        <f t="shared" ref="W74:W109" si="121">RCoutEsr*V74^2</f>
        <v>1.5774047590984408E-5</v>
      </c>
      <c r="X74" s="360">
        <f t="shared" ref="X74:X109" si="122">W74</f>
        <v>1.5774047590984408E-5</v>
      </c>
      <c r="Y74" s="4">
        <f t="shared" ref="Y74:Y109" si="123">SQRT(M74*(1-M74))*SQRT(K74^2+(N74^2)/12)</f>
        <v>0.68155863003507355</v>
      </c>
      <c r="Z74" s="360">
        <f t="shared" ref="Z74:Z109" si="124">RCinEsr*Y74^2</f>
        <v>4.6452216617528624E-4</v>
      </c>
      <c r="AA74" s="541">
        <f t="shared" ref="AA74:AA109" si="125">Z74</f>
        <v>4.6452216617528624E-4</v>
      </c>
      <c r="AB74" s="360">
        <f t="shared" ref="AB74:AB109" si="126">SQRT(M74)*SQRT(K74^2+(N74^2)/12)</f>
        <v>3.1754419966533152</v>
      </c>
      <c r="AC74" s="360">
        <f t="shared" si="95"/>
        <v>6.0500591244657557E-2</v>
      </c>
      <c r="AD74" s="360">
        <f t="shared" si="96"/>
        <v>0.24271763292036372</v>
      </c>
      <c r="AE74" s="360">
        <f t="shared" si="97"/>
        <v>0.6042329999999998</v>
      </c>
      <c r="AF74" s="360">
        <f t="shared" si="98"/>
        <v>0</v>
      </c>
      <c r="AG74" s="360">
        <f t="shared" si="99"/>
        <v>0.91856598115646004</v>
      </c>
      <c r="AH74" s="360">
        <f t="shared" si="100"/>
        <v>0.69782171769435553</v>
      </c>
      <c r="AI74" s="360">
        <f t="shared" si="101"/>
        <v>1.2173878742147521E-3</v>
      </c>
      <c r="AJ74" s="360">
        <f t="shared" si="102"/>
        <v>0.12739999999999999</v>
      </c>
      <c r="AK74" s="360">
        <f t="shared" si="103"/>
        <v>0.12864119202076291</v>
      </c>
      <c r="AL74" s="360">
        <f t="shared" si="104"/>
        <v>0.12739999999999999</v>
      </c>
      <c r="AM74" s="360">
        <f t="shared" si="105"/>
        <v>1.6379999999999999</v>
      </c>
      <c r="AN74" s="360">
        <f t="shared" si="106"/>
        <v>4.2281548095181976E-2</v>
      </c>
      <c r="AO74" s="360">
        <f t="shared" si="107"/>
        <v>7.3499999999999998E-4</v>
      </c>
      <c r="AP74" s="360">
        <f t="shared" si="108"/>
        <v>0.32999999999999996</v>
      </c>
      <c r="AQ74" s="360">
        <f t="shared" si="109"/>
        <v>1.2539999999999998</v>
      </c>
      <c r="AR74" s="360">
        <f t="shared" si="110"/>
        <v>1.0559999999999998</v>
      </c>
      <c r="AS74" s="360">
        <f t="shared" si="74"/>
        <v>0.33073499999999995</v>
      </c>
      <c r="AT74" s="360">
        <f t="shared" si="111"/>
        <v>3.5295472705752289</v>
      </c>
      <c r="AU74">
        <f t="shared" si="112"/>
        <v>65</v>
      </c>
      <c r="AV74" s="542">
        <f t="shared" ref="AV74:AV109" si="127">AU74/(AU74+AT74)</f>
        <v>0.94849597857929058</v>
      </c>
      <c r="AW74" s="551">
        <f t="shared" si="113"/>
        <v>99.982299057823013</v>
      </c>
      <c r="AX74" s="551">
        <f t="shared" si="114"/>
        <v>25.428885296788991</v>
      </c>
      <c r="AY74" s="9"/>
      <c r="AZ74" s="4">
        <f t="shared" ref="AZ74:AZ109" si="128">AV74*100</f>
        <v>94.849597857929055</v>
      </c>
      <c r="BA74" s="360">
        <f t="shared" si="115"/>
        <v>0.34344325308905799</v>
      </c>
      <c r="BB74" s="360">
        <f t="shared" ref="BB74:BB109" si="129">AG74+AK74+AM74</f>
        <v>2.6852071731772229</v>
      </c>
      <c r="BC74" s="360">
        <f t="shared" ref="BC74:BC109" si="130">AG74+AM74*0.66</f>
        <v>1.9996459811564602</v>
      </c>
      <c r="BD74" s="360">
        <f t="shared" ref="BD74:BD109" si="131">AK74+AM74*0.33</f>
        <v>0.66918119202076287</v>
      </c>
      <c r="BE74" s="360">
        <f t="shared" ref="BE74:BE109" si="132">AN74</f>
        <v>4.2281548095181976E-2</v>
      </c>
      <c r="BK74" s="18"/>
      <c r="BL74" s="19"/>
    </row>
    <row r="75" spans="1:64" x14ac:dyDescent="0.2">
      <c r="A75" s="34" t="s">
        <v>115</v>
      </c>
      <c r="B75" s="603">
        <f>AS9</f>
        <v>0.33073499999999995</v>
      </c>
      <c r="C75" s="78" t="s">
        <v>116</v>
      </c>
      <c r="G75">
        <v>66</v>
      </c>
      <c r="H75" s="548">
        <f t="shared" si="85"/>
        <v>21</v>
      </c>
      <c r="I75" s="4">
        <f t="shared" si="86"/>
        <v>1</v>
      </c>
      <c r="J75" s="360">
        <f t="shared" si="116"/>
        <v>3.3</v>
      </c>
      <c r="K75" s="360">
        <f t="shared" si="87"/>
        <v>3.3</v>
      </c>
      <c r="L75" s="4">
        <f t="shared" si="88"/>
        <v>3.4920634920634916</v>
      </c>
      <c r="M75" s="360">
        <f t="shared" si="89"/>
        <v>0.95395599869534053</v>
      </c>
      <c r="N75" s="4">
        <f t="shared" si="90"/>
        <v>0.3074918169127977</v>
      </c>
      <c r="O75" s="4">
        <f t="shared" si="117"/>
        <v>3.4537459084563986</v>
      </c>
      <c r="P75" s="4">
        <f t="shared" si="118"/>
        <v>3.146254091543601</v>
      </c>
      <c r="Q75" s="4">
        <f t="shared" si="91"/>
        <v>0</v>
      </c>
      <c r="R75" s="4">
        <f t="shared" si="119"/>
        <v>3.3011936126380652</v>
      </c>
      <c r="S75" s="360">
        <f t="shared" si="92"/>
        <v>4.3591517072489441E-2</v>
      </c>
      <c r="T75" s="360">
        <f t="shared" si="93"/>
        <v>0.3</v>
      </c>
      <c r="U75" s="360">
        <f t="shared" si="94"/>
        <v>0.34479392429146877</v>
      </c>
      <c r="V75" s="4">
        <f t="shared" si="120"/>
        <v>8.8765241634105443E-2</v>
      </c>
      <c r="W75" s="360">
        <f t="shared" si="121"/>
        <v>1.5758536244722252E-5</v>
      </c>
      <c r="X75" s="360">
        <f t="shared" si="122"/>
        <v>1.5758536244722252E-5</v>
      </c>
      <c r="Y75" s="4">
        <f t="shared" si="123"/>
        <v>0.69186553439611342</v>
      </c>
      <c r="Z75" s="360">
        <f t="shared" si="124"/>
        <v>4.7867791768521964E-4</v>
      </c>
      <c r="AA75" s="541">
        <f t="shared" si="125"/>
        <v>4.7867791768521964E-4</v>
      </c>
      <c r="AB75" s="360">
        <f t="shared" si="126"/>
        <v>3.2242979547310626</v>
      </c>
      <c r="AC75" s="360">
        <f t="shared" si="95"/>
        <v>6.2376583805297488E-2</v>
      </c>
      <c r="AD75" s="360">
        <f t="shared" si="96"/>
        <v>0.24645175034990779</v>
      </c>
      <c r="AE75" s="360">
        <f t="shared" si="97"/>
        <v>0.6042329999999998</v>
      </c>
      <c r="AF75" s="360">
        <f t="shared" si="98"/>
        <v>0</v>
      </c>
      <c r="AG75" s="360">
        <f t="shared" si="99"/>
        <v>0.92459596165282043</v>
      </c>
      <c r="AH75" s="360">
        <f t="shared" si="100"/>
        <v>0.70836570162554258</v>
      </c>
      <c r="AI75" s="360">
        <f t="shared" si="101"/>
        <v>1.2544549180986181E-3</v>
      </c>
      <c r="AJ75" s="360">
        <f t="shared" si="102"/>
        <v>0.12935999999999998</v>
      </c>
      <c r="AK75" s="360">
        <f t="shared" si="103"/>
        <v>0.13063936485954789</v>
      </c>
      <c r="AL75" s="360">
        <f t="shared" si="104"/>
        <v>0.12935999999999998</v>
      </c>
      <c r="AM75" s="360">
        <f t="shared" si="105"/>
        <v>1.6631999999999998</v>
      </c>
      <c r="AN75" s="360">
        <f t="shared" si="106"/>
        <v>4.3591517072489441E-2</v>
      </c>
      <c r="AO75" s="360">
        <f t="shared" si="107"/>
        <v>7.3499999999999998E-4</v>
      </c>
      <c r="AP75" s="360">
        <f t="shared" si="108"/>
        <v>0.32999999999999996</v>
      </c>
      <c r="AQ75" s="360">
        <f t="shared" si="109"/>
        <v>1.2539999999999998</v>
      </c>
      <c r="AR75" s="360">
        <f t="shared" si="110"/>
        <v>1.0559999999999998</v>
      </c>
      <c r="AS75" s="360">
        <f t="shared" ref="AS75:AS109" si="133">SUM(AO75:AP75)</f>
        <v>0.33073499999999995</v>
      </c>
      <c r="AT75" s="360">
        <f t="shared" si="111"/>
        <v>3.567410204330256</v>
      </c>
      <c r="AU75">
        <f t="shared" si="112"/>
        <v>66</v>
      </c>
      <c r="AV75" s="542">
        <f t="shared" si="127"/>
        <v>0.94872009474188812</v>
      </c>
      <c r="AW75" s="551">
        <f t="shared" si="113"/>
        <v>101.11539808264102</v>
      </c>
      <c r="AX75" s="551">
        <f t="shared" si="114"/>
        <v>25.82082386466282</v>
      </c>
      <c r="AY75" s="9"/>
      <c r="AZ75" s="4">
        <f t="shared" si="128"/>
        <v>94.872009474188815</v>
      </c>
      <c r="BA75" s="360">
        <f t="shared" si="115"/>
        <v>0.34479392429146877</v>
      </c>
      <c r="BB75" s="360">
        <f t="shared" si="129"/>
        <v>2.7184353265123682</v>
      </c>
      <c r="BC75" s="360">
        <f t="shared" si="130"/>
        <v>2.0223079616528206</v>
      </c>
      <c r="BD75" s="360">
        <f t="shared" si="131"/>
        <v>0.67949536485954787</v>
      </c>
      <c r="BE75" s="360">
        <f t="shared" si="132"/>
        <v>4.3591517072489441E-2</v>
      </c>
      <c r="BK75" s="18"/>
      <c r="BL75" s="19"/>
    </row>
    <row r="76" spans="1:64" x14ac:dyDescent="0.2">
      <c r="A76" s="34" t="s">
        <v>119</v>
      </c>
      <c r="B76" s="604">
        <f>B75*B62</f>
        <v>9.9220499999999987</v>
      </c>
      <c r="C76" s="440" t="s">
        <v>465</v>
      </c>
      <c r="G76">
        <v>67</v>
      </c>
      <c r="H76" s="548">
        <f t="shared" si="85"/>
        <v>21</v>
      </c>
      <c r="I76" s="4">
        <f t="shared" si="86"/>
        <v>1</v>
      </c>
      <c r="J76" s="360">
        <f t="shared" si="116"/>
        <v>3.35</v>
      </c>
      <c r="K76" s="360">
        <f t="shared" si="87"/>
        <v>3.35</v>
      </c>
      <c r="L76" s="4">
        <f t="shared" si="88"/>
        <v>3.5449735449735447</v>
      </c>
      <c r="M76" s="360">
        <f t="shared" si="89"/>
        <v>0.95397986113012412</v>
      </c>
      <c r="N76" s="4">
        <f t="shared" si="90"/>
        <v>0.30734051192742162</v>
      </c>
      <c r="O76" s="4">
        <f t="shared" si="117"/>
        <v>3.5036702559637107</v>
      </c>
      <c r="P76" s="4">
        <f t="shared" si="118"/>
        <v>3.1963297440362894</v>
      </c>
      <c r="Q76" s="4">
        <f t="shared" si="91"/>
        <v>0</v>
      </c>
      <c r="R76" s="4">
        <f t="shared" si="119"/>
        <v>3.3511746471731345</v>
      </c>
      <c r="S76" s="360">
        <f t="shared" si="92"/>
        <v>4.4921486063423929E-2</v>
      </c>
      <c r="T76" s="360">
        <f t="shared" si="93"/>
        <v>0.3</v>
      </c>
      <c r="U76" s="360">
        <f t="shared" si="94"/>
        <v>0.34616550758539477</v>
      </c>
      <c r="V76" s="4">
        <f t="shared" si="120"/>
        <v>8.8721563647087137E-2</v>
      </c>
      <c r="W76" s="360">
        <f t="shared" si="121"/>
        <v>1.5743031711968268E-5</v>
      </c>
      <c r="X76" s="360">
        <f t="shared" si="122"/>
        <v>1.5743031711968268E-5</v>
      </c>
      <c r="Y76" s="4">
        <f t="shared" si="123"/>
        <v>0.70216734378248846</v>
      </c>
      <c r="Z76" s="360">
        <f t="shared" si="124"/>
        <v>4.9303897867455536E-4</v>
      </c>
      <c r="AA76" s="541">
        <f t="shared" si="125"/>
        <v>4.9303897867455536E-4</v>
      </c>
      <c r="AB76" s="360">
        <f t="shared" si="126"/>
        <v>3.273155703466609</v>
      </c>
      <c r="AC76" s="360">
        <f t="shared" si="95"/>
        <v>6.4281289554815949E-2</v>
      </c>
      <c r="AD76" s="360">
        <f t="shared" si="96"/>
        <v>0.2501858677794519</v>
      </c>
      <c r="AE76" s="360">
        <f t="shared" si="97"/>
        <v>0.6042329999999998</v>
      </c>
      <c r="AF76" s="360">
        <f t="shared" si="98"/>
        <v>0</v>
      </c>
      <c r="AG76" s="360">
        <f t="shared" si="99"/>
        <v>0.93066502694944331</v>
      </c>
      <c r="AH76" s="360">
        <f t="shared" si="100"/>
        <v>0.71890420552392853</v>
      </c>
      <c r="AI76" s="360">
        <f t="shared" si="101"/>
        <v>1.2920581417999772E-3</v>
      </c>
      <c r="AJ76" s="360">
        <f t="shared" si="102"/>
        <v>0.13131999999999999</v>
      </c>
      <c r="AK76" s="360">
        <f t="shared" si="103"/>
        <v>0.13263810731606351</v>
      </c>
      <c r="AL76" s="360">
        <f t="shared" si="104"/>
        <v>0.13131999999999999</v>
      </c>
      <c r="AM76" s="360">
        <f t="shared" si="105"/>
        <v>1.6883999999999997</v>
      </c>
      <c r="AN76" s="360">
        <f t="shared" si="106"/>
        <v>4.4921486063423929E-2</v>
      </c>
      <c r="AO76" s="360">
        <f t="shared" si="107"/>
        <v>7.3499999999999998E-4</v>
      </c>
      <c r="AP76" s="360">
        <f t="shared" si="108"/>
        <v>0.32999999999999996</v>
      </c>
      <c r="AQ76" s="360">
        <f t="shared" si="109"/>
        <v>1.2539999999999998</v>
      </c>
      <c r="AR76" s="360">
        <f t="shared" si="110"/>
        <v>1.0559999999999998</v>
      </c>
      <c r="AS76" s="360">
        <f t="shared" si="133"/>
        <v>0.33073499999999995</v>
      </c>
      <c r="AT76" s="360">
        <f t="shared" si="111"/>
        <v>3.6053539099247116</v>
      </c>
      <c r="AU76">
        <f t="shared" si="112"/>
        <v>67</v>
      </c>
      <c r="AV76" s="542">
        <f t="shared" si="127"/>
        <v>0.94893653653341536</v>
      </c>
      <c r="AW76" s="551">
        <f t="shared" si="113"/>
        <v>102.25045134747215</v>
      </c>
      <c r="AX76" s="551">
        <f t="shared" si="114"/>
        <v>26.212784078010408</v>
      </c>
      <c r="AY76" s="9"/>
      <c r="AZ76" s="4">
        <f t="shared" si="128"/>
        <v>94.893653653341531</v>
      </c>
      <c r="BA76" s="360">
        <f t="shared" si="115"/>
        <v>0.34616550758539477</v>
      </c>
      <c r="BB76" s="360">
        <f t="shared" si="129"/>
        <v>2.7517031342655063</v>
      </c>
      <c r="BC76" s="360">
        <f t="shared" si="130"/>
        <v>2.045009026949443</v>
      </c>
      <c r="BD76" s="360">
        <f t="shared" si="131"/>
        <v>0.6898101073160634</v>
      </c>
      <c r="BE76" s="360">
        <f t="shared" si="132"/>
        <v>4.4921486063423929E-2</v>
      </c>
      <c r="BK76" s="18"/>
      <c r="BL76" s="19"/>
    </row>
    <row r="77" spans="1:64" x14ac:dyDescent="0.2">
      <c r="A77" s="34" t="s">
        <v>210</v>
      </c>
      <c r="B77" s="604">
        <f>(Qg_Q1+Qg_Q2)*Fsw+Iq</f>
        <v>6.6034999999999983E-2</v>
      </c>
      <c r="C77" s="21" t="s">
        <v>1</v>
      </c>
      <c r="G77">
        <v>68</v>
      </c>
      <c r="H77" s="548">
        <f t="shared" si="85"/>
        <v>21</v>
      </c>
      <c r="I77" s="4">
        <f t="shared" si="86"/>
        <v>1</v>
      </c>
      <c r="J77" s="360">
        <f t="shared" si="116"/>
        <v>3.4</v>
      </c>
      <c r="K77" s="360">
        <f t="shared" si="87"/>
        <v>3.4</v>
      </c>
      <c r="L77" s="4">
        <f t="shared" si="88"/>
        <v>3.5978835978835977</v>
      </c>
      <c r="M77" s="360">
        <f t="shared" si="89"/>
        <v>0.95400372350809692</v>
      </c>
      <c r="N77" s="4">
        <f t="shared" si="90"/>
        <v>0.30718919896960756</v>
      </c>
      <c r="O77" s="4">
        <f t="shared" si="117"/>
        <v>3.5535945994848035</v>
      </c>
      <c r="P77" s="4">
        <f t="shared" si="118"/>
        <v>3.2464054005151963</v>
      </c>
      <c r="Q77" s="4">
        <f t="shared" si="91"/>
        <v>0</v>
      </c>
      <c r="R77" s="4">
        <f t="shared" si="119"/>
        <v>3.4011562397215691</v>
      </c>
      <c r="S77" s="360">
        <f t="shared" si="92"/>
        <v>4.6271455067987854E-2</v>
      </c>
      <c r="T77" s="360">
        <f t="shared" si="93"/>
        <v>0.3</v>
      </c>
      <c r="U77" s="360">
        <f t="shared" si="94"/>
        <v>0.34755801627868849</v>
      </c>
      <c r="V77" s="4">
        <f t="shared" si="120"/>
        <v>8.8677883358624227E-2</v>
      </c>
      <c r="W77" s="360">
        <f t="shared" si="121"/>
        <v>1.5727533993931525E-5</v>
      </c>
      <c r="X77" s="360">
        <f t="shared" si="122"/>
        <v>1.5727533993931525E-5</v>
      </c>
      <c r="Y77" s="4">
        <f t="shared" si="123"/>
        <v>0.71246405037396532</v>
      </c>
      <c r="Z77" s="360">
        <f t="shared" si="124"/>
        <v>5.0760502307527623E-4</v>
      </c>
      <c r="AA77" s="541">
        <f t="shared" si="125"/>
        <v>5.0760502307527623E-4</v>
      </c>
      <c r="AB77" s="360">
        <f t="shared" si="126"/>
        <v>3.3220152177179298</v>
      </c>
      <c r="AC77" s="360">
        <f t="shared" si="95"/>
        <v>6.6214710640497026E-2</v>
      </c>
      <c r="AD77" s="360">
        <f t="shared" si="96"/>
        <v>0.25391998520899584</v>
      </c>
      <c r="AE77" s="360">
        <f t="shared" si="97"/>
        <v>0.6042329999999998</v>
      </c>
      <c r="AF77" s="360">
        <f t="shared" si="98"/>
        <v>0</v>
      </c>
      <c r="AG77" s="360">
        <f t="shared" si="99"/>
        <v>0.93677333085718117</v>
      </c>
      <c r="AH77" s="360">
        <f t="shared" si="100"/>
        <v>0.72943722159447</v>
      </c>
      <c r="AI77" s="360">
        <f t="shared" si="101"/>
        <v>1.33019665061865E-3</v>
      </c>
      <c r="AJ77" s="360">
        <f t="shared" si="102"/>
        <v>0.13327999999999998</v>
      </c>
      <c r="AK77" s="360">
        <f t="shared" si="103"/>
        <v>0.13463741897567158</v>
      </c>
      <c r="AL77" s="360">
        <f t="shared" si="104"/>
        <v>0.13327999999999998</v>
      </c>
      <c r="AM77" s="360">
        <f t="shared" si="105"/>
        <v>1.7135999999999998</v>
      </c>
      <c r="AN77" s="360">
        <f t="shared" si="106"/>
        <v>4.6271455067987854E-2</v>
      </c>
      <c r="AO77" s="360">
        <f t="shared" si="107"/>
        <v>7.3499999999999998E-4</v>
      </c>
      <c r="AP77" s="360">
        <f t="shared" si="108"/>
        <v>0.32999999999999996</v>
      </c>
      <c r="AQ77" s="360">
        <f t="shared" si="109"/>
        <v>1.2539999999999998</v>
      </c>
      <c r="AR77" s="360">
        <f t="shared" si="110"/>
        <v>1.0559999999999998</v>
      </c>
      <c r="AS77" s="360">
        <f t="shared" si="133"/>
        <v>0.33073499999999995</v>
      </c>
      <c r="AT77" s="360">
        <f t="shared" si="111"/>
        <v>3.6433785537365981</v>
      </c>
      <c r="AU77">
        <f t="shared" si="112"/>
        <v>68</v>
      </c>
      <c r="AV77" s="542">
        <f t="shared" si="127"/>
        <v>0.94914563456825451</v>
      </c>
      <c r="AW77" s="551">
        <f t="shared" si="113"/>
        <v>103.38746654285906</v>
      </c>
      <c r="AX77" s="551">
        <f t="shared" si="114"/>
        <v>26.604765921075522</v>
      </c>
      <c r="AY77" s="9"/>
      <c r="AZ77" s="4">
        <f t="shared" si="128"/>
        <v>94.914563456825448</v>
      </c>
      <c r="BA77" s="360">
        <f t="shared" si="115"/>
        <v>0.34755801627868849</v>
      </c>
      <c r="BB77" s="360">
        <f t="shared" si="129"/>
        <v>2.7850107498328525</v>
      </c>
      <c r="BC77" s="360">
        <f t="shared" si="130"/>
        <v>2.0677493308571813</v>
      </c>
      <c r="BD77" s="360">
        <f t="shared" si="131"/>
        <v>0.7001254189756716</v>
      </c>
      <c r="BE77" s="360">
        <f t="shared" si="132"/>
        <v>4.6271455067987854E-2</v>
      </c>
      <c r="BK77" s="18"/>
      <c r="BL77" s="19"/>
    </row>
    <row r="78" spans="1:64" x14ac:dyDescent="0.2">
      <c r="A78" s="34" t="s">
        <v>211</v>
      </c>
      <c r="B78" s="605">
        <f>Qrr_Q2*Fsw</f>
        <v>0.12</v>
      </c>
      <c r="C78" s="21" t="s">
        <v>1</v>
      </c>
      <c r="G78">
        <v>69</v>
      </c>
      <c r="H78" s="548">
        <f t="shared" si="85"/>
        <v>21</v>
      </c>
      <c r="I78" s="4">
        <f t="shared" si="86"/>
        <v>1</v>
      </c>
      <c r="J78" s="360">
        <f t="shared" si="116"/>
        <v>3.45</v>
      </c>
      <c r="K78" s="360">
        <f t="shared" si="87"/>
        <v>3.45</v>
      </c>
      <c r="L78" s="4">
        <f t="shared" si="88"/>
        <v>3.6507936507936503</v>
      </c>
      <c r="M78" s="360">
        <f t="shared" si="89"/>
        <v>0.95402758582925928</v>
      </c>
      <c r="N78" s="4">
        <f t="shared" si="90"/>
        <v>0.30703787803938287</v>
      </c>
      <c r="O78" s="4">
        <f t="shared" si="117"/>
        <v>3.6035189390196916</v>
      </c>
      <c r="P78" s="4">
        <f t="shared" si="118"/>
        <v>3.2964810609803088</v>
      </c>
      <c r="Q78" s="4">
        <f t="shared" si="91"/>
        <v>0</v>
      </c>
      <c r="R78" s="4">
        <f t="shared" si="119"/>
        <v>3.4511383660389381</v>
      </c>
      <c r="S78" s="360">
        <f t="shared" si="92"/>
        <v>4.7641424086183645E-2</v>
      </c>
      <c r="T78" s="360">
        <f t="shared" si="93"/>
        <v>0.3</v>
      </c>
      <c r="U78" s="360">
        <f t="shared" si="94"/>
        <v>0.3489714638865834</v>
      </c>
      <c r="V78" s="4">
        <f t="shared" si="120"/>
        <v>8.8634200768724594E-2</v>
      </c>
      <c r="W78" s="360">
        <f t="shared" si="121"/>
        <v>1.5712043091821162E-5</v>
      </c>
      <c r="X78" s="360">
        <f t="shared" si="122"/>
        <v>1.5712043091821162E-5</v>
      </c>
      <c r="Y78" s="4">
        <f t="shared" si="123"/>
        <v>0.72275564666542469</v>
      </c>
      <c r="Z78" s="360">
        <f t="shared" si="124"/>
        <v>5.2237572478675616E-4</v>
      </c>
      <c r="AA78" s="541">
        <f t="shared" si="125"/>
        <v>5.2237572478675616E-4</v>
      </c>
      <c r="AB78" s="360">
        <f t="shared" si="126"/>
        <v>3.3708764737976424</v>
      </c>
      <c r="AC78" s="360">
        <f t="shared" si="95"/>
        <v>6.8176849209614573E-2</v>
      </c>
      <c r="AD78" s="360">
        <f t="shared" si="96"/>
        <v>0.25765410263853994</v>
      </c>
      <c r="AE78" s="360">
        <f t="shared" si="97"/>
        <v>0.6042329999999998</v>
      </c>
      <c r="AF78" s="360">
        <f t="shared" si="98"/>
        <v>0</v>
      </c>
      <c r="AG78" s="360">
        <f t="shared" si="99"/>
        <v>0.94292102880767337</v>
      </c>
      <c r="AH78" s="360">
        <f t="shared" si="100"/>
        <v>0.739964742365124</v>
      </c>
      <c r="AI78" s="360">
        <f t="shared" si="101"/>
        <v>1.3688695498587109E-3</v>
      </c>
      <c r="AJ78" s="360">
        <f t="shared" si="102"/>
        <v>0.13524</v>
      </c>
      <c r="AK78" s="360">
        <f t="shared" si="103"/>
        <v>0.13663729942291905</v>
      </c>
      <c r="AL78" s="360">
        <f t="shared" si="104"/>
        <v>0.13524</v>
      </c>
      <c r="AM78" s="360">
        <f t="shared" si="105"/>
        <v>1.7387999999999999</v>
      </c>
      <c r="AN78" s="360">
        <f t="shared" si="106"/>
        <v>4.7641424086183645E-2</v>
      </c>
      <c r="AO78" s="360">
        <f t="shared" si="107"/>
        <v>7.3499999999999998E-4</v>
      </c>
      <c r="AP78" s="360">
        <f t="shared" si="108"/>
        <v>0.32999999999999996</v>
      </c>
      <c r="AQ78" s="360">
        <f t="shared" si="109"/>
        <v>1.2539999999999998</v>
      </c>
      <c r="AR78" s="360">
        <f t="shared" si="110"/>
        <v>1.0559999999999998</v>
      </c>
      <c r="AS78" s="360">
        <f t="shared" si="133"/>
        <v>0.33073499999999995</v>
      </c>
      <c r="AT78" s="360">
        <f t="shared" si="111"/>
        <v>3.6814843039712377</v>
      </c>
      <c r="AU78">
        <f t="shared" si="112"/>
        <v>69</v>
      </c>
      <c r="AV78" s="542">
        <f t="shared" si="127"/>
        <v>0.94934770059765994</v>
      </c>
      <c r="AW78" s="551">
        <f t="shared" si="113"/>
        <v>104.52645144038367</v>
      </c>
      <c r="AX78" s="551">
        <f t="shared" si="114"/>
        <v>26.996769378070923</v>
      </c>
      <c r="AY78" s="9"/>
      <c r="AZ78" s="4">
        <f t="shared" si="128"/>
        <v>94.934770059765995</v>
      </c>
      <c r="BA78" s="360">
        <f t="shared" si="115"/>
        <v>0.3489714638865834</v>
      </c>
      <c r="BB78" s="360">
        <f t="shared" si="129"/>
        <v>2.8183583282305924</v>
      </c>
      <c r="BC78" s="360">
        <f t="shared" si="130"/>
        <v>2.0905290288076732</v>
      </c>
      <c r="BD78" s="360">
        <f t="shared" si="131"/>
        <v>0.710441299422919</v>
      </c>
      <c r="BE78" s="360">
        <f t="shared" si="132"/>
        <v>4.7641424086183645E-2</v>
      </c>
      <c r="BK78" s="18"/>
      <c r="BL78" s="19"/>
    </row>
    <row r="79" spans="1:64" x14ac:dyDescent="0.2">
      <c r="A79" s="34" t="s">
        <v>212</v>
      </c>
      <c r="B79" s="605">
        <f>Deadtime*Fsw*(Iripple_Vinnom/2)*(Vsd_Q2)/Vin</f>
        <v>1.4830320329844589E-4</v>
      </c>
      <c r="C79" s="21"/>
      <c r="G79">
        <v>70</v>
      </c>
      <c r="H79" s="548">
        <f t="shared" si="85"/>
        <v>21</v>
      </c>
      <c r="I79" s="4">
        <f t="shared" si="86"/>
        <v>1</v>
      </c>
      <c r="J79" s="360">
        <f t="shared" si="116"/>
        <v>3.5</v>
      </c>
      <c r="K79" s="360">
        <f t="shared" si="87"/>
        <v>3.5</v>
      </c>
      <c r="L79" s="4">
        <f t="shared" si="88"/>
        <v>3.7037037037037033</v>
      </c>
      <c r="M79" s="360">
        <f t="shared" si="89"/>
        <v>0.95405144809361131</v>
      </c>
      <c r="N79" s="4">
        <f t="shared" si="90"/>
        <v>0.30688654913677826</v>
      </c>
      <c r="O79" s="4">
        <f t="shared" si="117"/>
        <v>3.6534432745683891</v>
      </c>
      <c r="P79" s="4">
        <f t="shared" si="118"/>
        <v>3.3465567254316109</v>
      </c>
      <c r="Q79" s="4">
        <f t="shared" si="91"/>
        <v>0</v>
      </c>
      <c r="R79" s="4">
        <f t="shared" si="119"/>
        <v>3.5011210032650149</v>
      </c>
      <c r="S79" s="360">
        <f t="shared" si="92"/>
        <v>4.9031393118013696E-2</v>
      </c>
      <c r="T79" s="360">
        <f t="shared" si="93"/>
        <v>0.3</v>
      </c>
      <c r="U79" s="360">
        <f t="shared" si="94"/>
        <v>0.35040586413202285</v>
      </c>
      <c r="V79" s="4">
        <f t="shared" si="120"/>
        <v>8.8590515877397122E-2</v>
      </c>
      <c r="W79" s="360">
        <f t="shared" si="121"/>
        <v>1.5696559006846702E-5</v>
      </c>
      <c r="X79" s="360">
        <f t="shared" si="122"/>
        <v>1.5696559006846702E-5</v>
      </c>
      <c r="Y79" s="4">
        <f t="shared" si="123"/>
        <v>0.73304212544420977</v>
      </c>
      <c r="Z79" s="360">
        <f t="shared" si="124"/>
        <v>5.373507576757646E-4</v>
      </c>
      <c r="AA79" s="541">
        <f t="shared" si="125"/>
        <v>5.373507576757646E-4</v>
      </c>
      <c r="AB79" s="360">
        <f t="shared" si="126"/>
        <v>3.4197394493692097</v>
      </c>
      <c r="AC79" s="360">
        <f t="shared" si="95"/>
        <v>7.0167707409432151E-2</v>
      </c>
      <c r="AD79" s="360">
        <f t="shared" si="96"/>
        <v>0.26138822006808399</v>
      </c>
      <c r="AE79" s="360">
        <f t="shared" si="97"/>
        <v>0.6042329999999998</v>
      </c>
      <c r="AF79" s="360">
        <f t="shared" si="98"/>
        <v>0</v>
      </c>
      <c r="AG79" s="360">
        <f t="shared" si="99"/>
        <v>0.94910827786574659</v>
      </c>
      <c r="AH79" s="360">
        <f t="shared" si="100"/>
        <v>0.75048676066363784</v>
      </c>
      <c r="AI79" s="360">
        <f t="shared" si="101"/>
        <v>1.408075944828501E-3</v>
      </c>
      <c r="AJ79" s="360">
        <f t="shared" si="102"/>
        <v>0.13719999999999999</v>
      </c>
      <c r="AK79" s="360">
        <f t="shared" si="103"/>
        <v>0.1386377482415368</v>
      </c>
      <c r="AL79" s="360">
        <f t="shared" si="104"/>
        <v>0.13719999999999999</v>
      </c>
      <c r="AM79" s="360">
        <f t="shared" si="105"/>
        <v>1.7639999999999998</v>
      </c>
      <c r="AN79" s="360">
        <f t="shared" si="106"/>
        <v>4.9031393118013696E-2</v>
      </c>
      <c r="AO79" s="360">
        <f t="shared" si="107"/>
        <v>7.3499999999999998E-4</v>
      </c>
      <c r="AP79" s="360">
        <f t="shared" si="108"/>
        <v>0.32999999999999996</v>
      </c>
      <c r="AQ79" s="360">
        <f t="shared" si="109"/>
        <v>1.2539999999999998</v>
      </c>
      <c r="AR79" s="360">
        <f t="shared" si="110"/>
        <v>1.0559999999999998</v>
      </c>
      <c r="AS79" s="360">
        <f t="shared" si="133"/>
        <v>0.33073499999999995</v>
      </c>
      <c r="AT79" s="360">
        <f t="shared" si="111"/>
        <v>3.7196713306740019</v>
      </c>
      <c r="AU79">
        <f t="shared" si="112"/>
        <v>70</v>
      </c>
      <c r="AV79" s="542">
        <f t="shared" si="127"/>
        <v>0.94954302883433661</v>
      </c>
      <c r="AW79" s="551">
        <f t="shared" si="113"/>
        <v>105.66741389328733</v>
      </c>
      <c r="AX79" s="551">
        <f t="shared" si="114"/>
        <v>27.388794433178401</v>
      </c>
      <c r="AY79" s="9"/>
      <c r="AZ79" s="4">
        <f t="shared" si="128"/>
        <v>94.954302883433655</v>
      </c>
      <c r="BA79" s="360">
        <f t="shared" si="115"/>
        <v>0.35040586413202285</v>
      </c>
      <c r="BB79" s="360">
        <f t="shared" si="129"/>
        <v>2.8517460261072829</v>
      </c>
      <c r="BC79" s="360">
        <f t="shared" si="130"/>
        <v>2.1133482778657466</v>
      </c>
      <c r="BD79" s="360">
        <f t="shared" si="131"/>
        <v>0.72075774824153682</v>
      </c>
      <c r="BE79" s="360">
        <f t="shared" si="132"/>
        <v>4.9031393118013696E-2</v>
      </c>
      <c r="BK79" s="18"/>
      <c r="BL79" s="19"/>
    </row>
    <row r="80" spans="1:64" x14ac:dyDescent="0.2">
      <c r="A80" s="34" t="s">
        <v>45</v>
      </c>
      <c r="B80" s="605">
        <f>SUM(B77:B79)</f>
        <v>0.18618330320329843</v>
      </c>
      <c r="C80" s="21" t="s">
        <v>1</v>
      </c>
      <c r="G80">
        <v>71</v>
      </c>
      <c r="H80" s="548">
        <f t="shared" si="85"/>
        <v>21</v>
      </c>
      <c r="I80" s="4">
        <f t="shared" si="86"/>
        <v>1</v>
      </c>
      <c r="J80" s="360">
        <f t="shared" si="116"/>
        <v>3.55</v>
      </c>
      <c r="K80" s="360">
        <f t="shared" si="87"/>
        <v>3.55</v>
      </c>
      <c r="L80" s="4">
        <f t="shared" si="88"/>
        <v>3.7566137566137563</v>
      </c>
      <c r="M80" s="360">
        <f t="shared" si="89"/>
        <v>0.95407531030115322</v>
      </c>
      <c r="N80" s="4">
        <f t="shared" si="90"/>
        <v>0.3067352122618211</v>
      </c>
      <c r="O80" s="4">
        <f t="shared" si="117"/>
        <v>3.7033676061309104</v>
      </c>
      <c r="P80" s="4">
        <f t="shared" si="118"/>
        <v>3.3966323938690892</v>
      </c>
      <c r="Q80" s="4">
        <f t="shared" si="91"/>
        <v>0</v>
      </c>
      <c r="R80" s="4">
        <f t="shared" si="119"/>
        <v>3.5511041298263994</v>
      </c>
      <c r="S80" s="360">
        <f t="shared" si="92"/>
        <v>5.0441362163480441E-2</v>
      </c>
      <c r="T80" s="360">
        <f t="shared" si="93"/>
        <v>0.3</v>
      </c>
      <c r="U80" s="360">
        <f t="shared" si="94"/>
        <v>0.35186123094599525</v>
      </c>
      <c r="V80" s="4">
        <f t="shared" si="120"/>
        <v>8.8546828684649706E-2</v>
      </c>
      <c r="W80" s="360">
        <f t="shared" si="121"/>
        <v>1.568108174021741E-5</v>
      </c>
      <c r="X80" s="360">
        <f t="shared" si="122"/>
        <v>1.568108174021741E-5</v>
      </c>
      <c r="Y80" s="4">
        <f t="shared" si="123"/>
        <v>0.74332347976938251</v>
      </c>
      <c r="Z80" s="360">
        <f t="shared" si="124"/>
        <v>5.525297955764636E-4</v>
      </c>
      <c r="AA80" s="541">
        <f t="shared" si="125"/>
        <v>5.525297955764636E-4</v>
      </c>
      <c r="AB80" s="360">
        <f t="shared" si="126"/>
        <v>3.4686041233519087</v>
      </c>
      <c r="AC80" s="360">
        <f t="shared" si="95"/>
        <v>7.2187287387203189E-2</v>
      </c>
      <c r="AD80" s="360">
        <f t="shared" si="96"/>
        <v>0.26512233749762809</v>
      </c>
      <c r="AE80" s="360">
        <f t="shared" si="97"/>
        <v>0.6042329999999998</v>
      </c>
      <c r="AF80" s="360">
        <f t="shared" si="98"/>
        <v>0</v>
      </c>
      <c r="AG80" s="360">
        <f t="shared" si="99"/>
        <v>0.95533523674199428</v>
      </c>
      <c r="AH80" s="360">
        <f t="shared" si="100"/>
        <v>0.7610032695962925</v>
      </c>
      <c r="AI80" s="360">
        <f t="shared" si="101"/>
        <v>1.4478149408406185E-3</v>
      </c>
      <c r="AJ80" s="360">
        <f t="shared" si="102"/>
        <v>0.13915999999999998</v>
      </c>
      <c r="AK80" s="360">
        <f t="shared" si="103"/>
        <v>0.1406387650144385</v>
      </c>
      <c r="AL80" s="360">
        <f t="shared" si="104"/>
        <v>0.13915999999999998</v>
      </c>
      <c r="AM80" s="360">
        <f t="shared" si="105"/>
        <v>1.7891999999999997</v>
      </c>
      <c r="AN80" s="360">
        <f t="shared" si="106"/>
        <v>5.0441362163480441E-2</v>
      </c>
      <c r="AO80" s="360">
        <f t="shared" si="107"/>
        <v>7.3499999999999998E-4</v>
      </c>
      <c r="AP80" s="360">
        <f t="shared" si="108"/>
        <v>0.32999999999999996</v>
      </c>
      <c r="AQ80" s="360">
        <f t="shared" si="109"/>
        <v>1.2539999999999998</v>
      </c>
      <c r="AR80" s="360">
        <f t="shared" si="110"/>
        <v>1.0559999999999998</v>
      </c>
      <c r="AS80" s="360">
        <f t="shared" si="133"/>
        <v>0.33073499999999995</v>
      </c>
      <c r="AT80" s="360">
        <f t="shared" si="111"/>
        <v>3.7579398057432245</v>
      </c>
      <c r="AU80">
        <f t="shared" si="112"/>
        <v>71</v>
      </c>
      <c r="AV80" s="542">
        <f t="shared" si="127"/>
        <v>0.94973189716693451</v>
      </c>
      <c r="AW80" s="551">
        <f t="shared" si="113"/>
        <v>106.81036183709971</v>
      </c>
      <c r="AX80" s="551">
        <f t="shared" si="114"/>
        <v>27.780841070548661</v>
      </c>
      <c r="AY80" s="9"/>
      <c r="AZ80" s="4">
        <f t="shared" si="128"/>
        <v>94.973189716693454</v>
      </c>
      <c r="BA80" s="360">
        <f t="shared" si="115"/>
        <v>0.35186123094599525</v>
      </c>
      <c r="BB80" s="360">
        <f t="shared" si="129"/>
        <v>2.8851740017564325</v>
      </c>
      <c r="BC80" s="360">
        <f t="shared" si="130"/>
        <v>2.1362072367419942</v>
      </c>
      <c r="BD80" s="360">
        <f t="shared" si="131"/>
        <v>0.73107476501443847</v>
      </c>
      <c r="BE80" s="360">
        <f t="shared" si="132"/>
        <v>5.0441362163480441E-2</v>
      </c>
      <c r="BK80" s="18"/>
      <c r="BL80" s="19"/>
    </row>
    <row r="81" spans="1:64" x14ac:dyDescent="0.2">
      <c r="A81" s="2"/>
      <c r="G81">
        <v>72</v>
      </c>
      <c r="H81" s="548">
        <f t="shared" si="85"/>
        <v>21</v>
      </c>
      <c r="I81" s="4">
        <f t="shared" si="86"/>
        <v>1</v>
      </c>
      <c r="J81" s="360">
        <f t="shared" si="116"/>
        <v>3.6</v>
      </c>
      <c r="K81" s="360">
        <f t="shared" si="87"/>
        <v>3.6</v>
      </c>
      <c r="L81" s="4">
        <f t="shared" si="88"/>
        <v>3.8095238095238093</v>
      </c>
      <c r="M81" s="360">
        <f t="shared" si="89"/>
        <v>0.95409917245188514</v>
      </c>
      <c r="N81" s="4">
        <f t="shared" si="90"/>
        <v>0.30658386741453864</v>
      </c>
      <c r="O81" s="4">
        <f t="shared" si="117"/>
        <v>3.7532919337072692</v>
      </c>
      <c r="P81" s="4">
        <f t="shared" si="118"/>
        <v>3.446708066292731</v>
      </c>
      <c r="Q81" s="4">
        <f t="shared" si="91"/>
        <v>0</v>
      </c>
      <c r="R81" s="4">
        <f t="shared" si="119"/>
        <v>3.6010877253472415</v>
      </c>
      <c r="S81" s="360">
        <f t="shared" si="92"/>
        <v>5.1871331222586282E-2</v>
      </c>
      <c r="T81" s="360">
        <f t="shared" si="93"/>
        <v>0.3</v>
      </c>
      <c r="U81" s="360">
        <f t="shared" si="94"/>
        <v>0.35333757846787378</v>
      </c>
      <c r="V81" s="4">
        <f t="shared" si="120"/>
        <v>8.8503139190490215E-2</v>
      </c>
      <c r="W81" s="360">
        <f t="shared" si="121"/>
        <v>1.566561129314257E-5</v>
      </c>
      <c r="X81" s="360">
        <f t="shared" si="122"/>
        <v>1.566561129314257E-5</v>
      </c>
      <c r="Y81" s="4">
        <f t="shared" si="123"/>
        <v>0.75359970295270895</v>
      </c>
      <c r="Z81" s="360">
        <f t="shared" si="124"/>
        <v>5.6791251229041122E-4</v>
      </c>
      <c r="AA81" s="541">
        <f t="shared" si="125"/>
        <v>5.6791251229041122E-4</v>
      </c>
      <c r="AB81" s="360">
        <f t="shared" si="126"/>
        <v>3.5174704758337061</v>
      </c>
      <c r="AC81" s="360">
        <f t="shared" si="95"/>
        <v>7.4235591290170794E-2</v>
      </c>
      <c r="AD81" s="360">
        <f t="shared" si="96"/>
        <v>0.26885645492717219</v>
      </c>
      <c r="AE81" s="360">
        <f t="shared" si="97"/>
        <v>0.6042329999999998</v>
      </c>
      <c r="AF81" s="360">
        <f t="shared" si="98"/>
        <v>0</v>
      </c>
      <c r="AG81" s="360">
        <f t="shared" si="99"/>
        <v>0.96160206580552732</v>
      </c>
      <c r="AH81" s="360">
        <f t="shared" si="100"/>
        <v>0.7715142625284187</v>
      </c>
      <c r="AI81" s="360">
        <f t="shared" si="101"/>
        <v>1.4880856432119244E-3</v>
      </c>
      <c r="AJ81" s="360">
        <f t="shared" si="102"/>
        <v>0.14112</v>
      </c>
      <c r="AK81" s="360">
        <f t="shared" si="103"/>
        <v>0.14264034932371955</v>
      </c>
      <c r="AL81" s="360">
        <f t="shared" si="104"/>
        <v>0.14112</v>
      </c>
      <c r="AM81" s="360">
        <f t="shared" si="105"/>
        <v>1.8143999999999998</v>
      </c>
      <c r="AN81" s="360">
        <f t="shared" si="106"/>
        <v>5.1871331222586282E-2</v>
      </c>
      <c r="AO81" s="360">
        <f t="shared" si="107"/>
        <v>7.3499999999999998E-4</v>
      </c>
      <c r="AP81" s="360">
        <f t="shared" si="108"/>
        <v>0.32999999999999996</v>
      </c>
      <c r="AQ81" s="360">
        <f t="shared" si="109"/>
        <v>1.2539999999999998</v>
      </c>
      <c r="AR81" s="360">
        <f t="shared" si="110"/>
        <v>1.0559999999999998</v>
      </c>
      <c r="AS81" s="360">
        <f t="shared" si="133"/>
        <v>0.33073499999999995</v>
      </c>
      <c r="AT81" s="360">
        <f t="shared" si="111"/>
        <v>3.7962899029432902</v>
      </c>
      <c r="AU81">
        <f t="shared" si="112"/>
        <v>72</v>
      </c>
      <c r="AV81" s="542">
        <f t="shared" si="127"/>
        <v>0.94991456827498533</v>
      </c>
      <c r="AW81" s="551">
        <f t="shared" si="113"/>
        <v>107.95530329027636</v>
      </c>
      <c r="AX81" s="551">
        <f t="shared" si="114"/>
        <v>28.172909274301343</v>
      </c>
      <c r="AY81" s="9"/>
      <c r="AZ81" s="4">
        <f t="shared" si="128"/>
        <v>94.991456827498538</v>
      </c>
      <c r="BA81" s="360">
        <f t="shared" si="115"/>
        <v>0.35333757846787378</v>
      </c>
      <c r="BB81" s="360">
        <f t="shared" si="129"/>
        <v>2.9186424151292467</v>
      </c>
      <c r="BC81" s="360">
        <f t="shared" si="130"/>
        <v>2.1591060658055272</v>
      </c>
      <c r="BD81" s="360">
        <f t="shared" si="131"/>
        <v>0.74139234932371956</v>
      </c>
      <c r="BE81" s="360">
        <f t="shared" si="132"/>
        <v>5.1871331222586282E-2</v>
      </c>
      <c r="BK81" s="18"/>
      <c r="BL81" s="19"/>
    </row>
    <row r="82" spans="1:64" x14ac:dyDescent="0.2">
      <c r="A82" s="2"/>
      <c r="G82">
        <v>73</v>
      </c>
      <c r="H82" s="548">
        <f t="shared" si="85"/>
        <v>21</v>
      </c>
      <c r="I82" s="4">
        <f t="shared" si="86"/>
        <v>1</v>
      </c>
      <c r="J82" s="360">
        <f t="shared" si="116"/>
        <v>3.65</v>
      </c>
      <c r="K82" s="360">
        <f t="shared" si="87"/>
        <v>3.65</v>
      </c>
      <c r="L82" s="4">
        <f t="shared" si="88"/>
        <v>3.8624338624338619</v>
      </c>
      <c r="M82" s="360">
        <f t="shared" si="89"/>
        <v>0.95412303454580738</v>
      </c>
      <c r="N82" s="4">
        <f t="shared" si="90"/>
        <v>0.30643251459496174</v>
      </c>
      <c r="O82" s="4">
        <f t="shared" si="117"/>
        <v>3.8032162572974806</v>
      </c>
      <c r="P82" s="4">
        <f t="shared" si="118"/>
        <v>3.4967837427025192</v>
      </c>
      <c r="Q82" s="4">
        <f t="shared" si="91"/>
        <v>0</v>
      </c>
      <c r="R82" s="4">
        <f t="shared" si="119"/>
        <v>3.651071770567297</v>
      </c>
      <c r="S82" s="360">
        <f t="shared" si="92"/>
        <v>5.3321300295333669E-2</v>
      </c>
      <c r="T82" s="360">
        <f t="shared" si="93"/>
        <v>0.3</v>
      </c>
      <c r="U82" s="360">
        <f t="shared" si="94"/>
        <v>0.35483492104576181</v>
      </c>
      <c r="V82" s="4">
        <f t="shared" si="120"/>
        <v>8.8459447394927546E-2</v>
      </c>
      <c r="W82" s="360">
        <f t="shared" si="121"/>
        <v>1.5650147666831909E-5</v>
      </c>
      <c r="X82" s="360">
        <f t="shared" si="122"/>
        <v>1.5650147666831909E-5</v>
      </c>
      <c r="Y82" s="4">
        <f t="shared" si="123"/>
        <v>0.76387078854120238</v>
      </c>
      <c r="Z82" s="360">
        <f t="shared" si="124"/>
        <v>5.8349858158655832E-4</v>
      </c>
      <c r="AA82" s="541">
        <f t="shared" si="125"/>
        <v>5.8349858158655832E-4</v>
      </c>
      <c r="AB82" s="360">
        <f t="shared" si="126"/>
        <v>3.5663384879912905</v>
      </c>
      <c r="AC82" s="360">
        <f t="shared" si="95"/>
        <v>7.6312621265568023E-2</v>
      </c>
      <c r="AD82" s="360">
        <f t="shared" si="96"/>
        <v>0.27259057235671613</v>
      </c>
      <c r="AE82" s="360">
        <f t="shared" si="97"/>
        <v>0.6042329999999998</v>
      </c>
      <c r="AF82" s="360">
        <f t="shared" si="98"/>
        <v>0</v>
      </c>
      <c r="AG82" s="360">
        <f t="shared" si="99"/>
        <v>0.96790892709690568</v>
      </c>
      <c r="AH82" s="360">
        <f t="shared" si="100"/>
        <v>0.78201973306650863</v>
      </c>
      <c r="AI82" s="360">
        <f t="shared" si="101"/>
        <v>1.5288871572635334E-3</v>
      </c>
      <c r="AJ82" s="360">
        <f t="shared" si="102"/>
        <v>0.14307999999999998</v>
      </c>
      <c r="AK82" s="360">
        <f t="shared" si="103"/>
        <v>0.14464250075065593</v>
      </c>
      <c r="AL82" s="360">
        <f t="shared" si="104"/>
        <v>0.14307999999999998</v>
      </c>
      <c r="AM82" s="360">
        <f t="shared" si="105"/>
        <v>1.8395999999999997</v>
      </c>
      <c r="AN82" s="360">
        <f t="shared" si="106"/>
        <v>5.3321300295333669E-2</v>
      </c>
      <c r="AO82" s="360">
        <f t="shared" si="107"/>
        <v>7.3499999999999998E-4</v>
      </c>
      <c r="AP82" s="360">
        <f t="shared" si="108"/>
        <v>0.32999999999999996</v>
      </c>
      <c r="AQ82" s="360">
        <f t="shared" si="109"/>
        <v>1.2539999999999998</v>
      </c>
      <c r="AR82" s="360">
        <f t="shared" si="110"/>
        <v>1.0559999999999998</v>
      </c>
      <c r="AS82" s="360">
        <f t="shared" si="133"/>
        <v>0.33073499999999995</v>
      </c>
      <c r="AT82" s="360">
        <f t="shared" si="111"/>
        <v>3.8347217979179105</v>
      </c>
      <c r="AU82">
        <f t="shared" si="112"/>
        <v>73</v>
      </c>
      <c r="AV82" s="542">
        <f t="shared" si="127"/>
        <v>0.95009129065367659</v>
      </c>
      <c r="AW82" s="551">
        <f t="shared" si="113"/>
        <v>109.10224635484526</v>
      </c>
      <c r="AX82" s="551">
        <f t="shared" si="114"/>
        <v>28.564999028524927</v>
      </c>
      <c r="AY82" s="9"/>
      <c r="AZ82" s="4">
        <f t="shared" si="128"/>
        <v>95.009129065367659</v>
      </c>
      <c r="BA82" s="360">
        <f t="shared" si="115"/>
        <v>0.35483492104576181</v>
      </c>
      <c r="BB82" s="360">
        <f t="shared" si="129"/>
        <v>2.9521514278475616</v>
      </c>
      <c r="BC82" s="360">
        <f t="shared" si="130"/>
        <v>2.1820449270969053</v>
      </c>
      <c r="BD82" s="360">
        <f t="shared" si="131"/>
        <v>0.75171050075065593</v>
      </c>
      <c r="BE82" s="360">
        <f t="shared" si="132"/>
        <v>5.3321300295333669E-2</v>
      </c>
      <c r="BK82" s="18"/>
      <c r="BL82" s="19"/>
    </row>
    <row r="83" spans="1:64" x14ac:dyDescent="0.2">
      <c r="A83" s="2"/>
      <c r="G83">
        <v>74</v>
      </c>
      <c r="H83" s="548">
        <f t="shared" si="85"/>
        <v>21</v>
      </c>
      <c r="I83" s="4">
        <f t="shared" si="86"/>
        <v>1</v>
      </c>
      <c r="J83" s="360">
        <f t="shared" si="116"/>
        <v>3.7</v>
      </c>
      <c r="K83" s="360">
        <f t="shared" si="87"/>
        <v>3.7</v>
      </c>
      <c r="L83" s="4">
        <f t="shared" si="88"/>
        <v>3.9153439153439149</v>
      </c>
      <c r="M83" s="360">
        <f t="shared" si="89"/>
        <v>0.95414689658292007</v>
      </c>
      <c r="N83" s="4">
        <f t="shared" si="90"/>
        <v>0.30628115380311766</v>
      </c>
      <c r="O83" s="4">
        <f t="shared" si="117"/>
        <v>3.8531405769015592</v>
      </c>
      <c r="P83" s="4">
        <f t="shared" si="118"/>
        <v>3.5468594230984412</v>
      </c>
      <c r="Q83" s="4">
        <f t="shared" si="91"/>
        <v>0</v>
      </c>
      <c r="R83" s="4">
        <f t="shared" si="119"/>
        <v>3.7010562472666164</v>
      </c>
      <c r="S83" s="360">
        <f t="shared" si="92"/>
        <v>5.4791269381725002E-2</v>
      </c>
      <c r="T83" s="360">
        <f t="shared" si="93"/>
        <v>0.3</v>
      </c>
      <c r="U83" s="360">
        <f t="shared" si="94"/>
        <v>0.35635327323684335</v>
      </c>
      <c r="V83" s="4">
        <f t="shared" si="120"/>
        <v>8.8415753297969579E-2</v>
      </c>
      <c r="W83" s="360">
        <f t="shared" si="121"/>
        <v>1.5634690862494836E-5</v>
      </c>
      <c r="X83" s="360">
        <f t="shared" si="122"/>
        <v>1.5634690862494836E-5</v>
      </c>
      <c r="Y83" s="4">
        <f t="shared" si="123"/>
        <v>0.77413673030108321</v>
      </c>
      <c r="Z83" s="360">
        <f t="shared" si="124"/>
        <v>5.992876772012521E-4</v>
      </c>
      <c r="AA83" s="541">
        <f t="shared" si="125"/>
        <v>5.992876772012521E-4</v>
      </c>
      <c r="AB83" s="360">
        <f t="shared" si="126"/>
        <v>3.6152081420165727</v>
      </c>
      <c r="AC83" s="360">
        <f t="shared" si="95"/>
        <v>7.8418379460617527E-2</v>
      </c>
      <c r="AD83" s="360">
        <f t="shared" si="96"/>
        <v>0.27632468978626024</v>
      </c>
      <c r="AE83" s="360">
        <f t="shared" si="97"/>
        <v>0.6042329999999998</v>
      </c>
      <c r="AF83" s="360">
        <f t="shared" si="98"/>
        <v>0</v>
      </c>
      <c r="AG83" s="360">
        <f t="shared" si="99"/>
        <v>0.97425598434124749</v>
      </c>
      <c r="AH83" s="360">
        <f t="shared" si="100"/>
        <v>0.79251967504178111</v>
      </c>
      <c r="AI83" s="360">
        <f t="shared" si="101"/>
        <v>1.5702185883208258E-3</v>
      </c>
      <c r="AJ83" s="360">
        <f t="shared" si="102"/>
        <v>0.14504</v>
      </c>
      <c r="AK83" s="360">
        <f t="shared" si="103"/>
        <v>0.146645218875703</v>
      </c>
      <c r="AL83" s="360">
        <f t="shared" si="104"/>
        <v>0.14504</v>
      </c>
      <c r="AM83" s="360">
        <f t="shared" si="105"/>
        <v>1.8648</v>
      </c>
      <c r="AN83" s="360">
        <f t="shared" si="106"/>
        <v>5.4791269381725002E-2</v>
      </c>
      <c r="AO83" s="360">
        <f t="shared" si="107"/>
        <v>7.3499999999999998E-4</v>
      </c>
      <c r="AP83" s="360">
        <f t="shared" si="108"/>
        <v>0.32999999999999996</v>
      </c>
      <c r="AQ83" s="360">
        <f t="shared" si="109"/>
        <v>1.2539999999999998</v>
      </c>
      <c r="AR83" s="360">
        <f t="shared" si="110"/>
        <v>1.0559999999999998</v>
      </c>
      <c r="AS83" s="360">
        <f t="shared" si="133"/>
        <v>0.33073499999999995</v>
      </c>
      <c r="AT83" s="360">
        <f t="shared" si="111"/>
        <v>3.8732356682035829</v>
      </c>
      <c r="AU83">
        <f t="shared" si="112"/>
        <v>74</v>
      </c>
      <c r="AV83" s="542">
        <f t="shared" si="127"/>
        <v>0.95026229955685459</v>
      </c>
      <c r="AW83" s="551">
        <f t="shared" si="113"/>
        <v>110.25119921706236</v>
      </c>
      <c r="AX83" s="551">
        <f t="shared" si="114"/>
        <v>28.957110317276715</v>
      </c>
      <c r="AY83" s="9"/>
      <c r="AZ83" s="4">
        <f t="shared" si="128"/>
        <v>95.026229955685466</v>
      </c>
      <c r="BA83" s="360">
        <f t="shared" si="115"/>
        <v>0.35635327323684335</v>
      </c>
      <c r="BB83" s="360">
        <f t="shared" si="129"/>
        <v>2.9857012032169505</v>
      </c>
      <c r="BC83" s="360">
        <f t="shared" si="130"/>
        <v>2.2050239843412474</v>
      </c>
      <c r="BD83" s="360">
        <f t="shared" si="131"/>
        <v>0.76202921887570307</v>
      </c>
      <c r="BE83" s="360">
        <f t="shared" si="132"/>
        <v>5.4791269381725002E-2</v>
      </c>
      <c r="BK83" s="18"/>
      <c r="BL83" s="19"/>
    </row>
    <row r="84" spans="1:64" x14ac:dyDescent="0.2">
      <c r="G84">
        <v>75</v>
      </c>
      <c r="H84" s="548">
        <f t="shared" si="85"/>
        <v>21</v>
      </c>
      <c r="I84" s="4">
        <f t="shared" si="86"/>
        <v>1</v>
      </c>
      <c r="J84" s="360">
        <f t="shared" si="116"/>
        <v>3.75</v>
      </c>
      <c r="K84" s="360">
        <f t="shared" si="87"/>
        <v>3.75</v>
      </c>
      <c r="L84" s="4">
        <f t="shared" si="88"/>
        <v>3.9682539682539679</v>
      </c>
      <c r="M84" s="360">
        <f t="shared" si="89"/>
        <v>0.95417075856322353</v>
      </c>
      <c r="N84" s="4">
        <f t="shared" si="90"/>
        <v>0.30612978503903376</v>
      </c>
      <c r="O84" s="4">
        <f t="shared" si="117"/>
        <v>3.903064892519517</v>
      </c>
      <c r="P84" s="4">
        <f t="shared" si="118"/>
        <v>3.596935107480483</v>
      </c>
      <c r="Q84" s="4">
        <f t="shared" si="91"/>
        <v>0</v>
      </c>
      <c r="R84" s="4">
        <f t="shared" si="119"/>
        <v>3.751041138196257</v>
      </c>
      <c r="S84" s="360">
        <f t="shared" si="92"/>
        <v>5.628123848176269E-2</v>
      </c>
      <c r="T84" s="360">
        <f t="shared" si="93"/>
        <v>0.3</v>
      </c>
      <c r="U84" s="360">
        <f t="shared" si="94"/>
        <v>0.35789264980773866</v>
      </c>
      <c r="V84" s="4">
        <f t="shared" si="120"/>
        <v>8.8372056899624213E-2</v>
      </c>
      <c r="W84" s="360">
        <f t="shared" si="121"/>
        <v>1.5619240881340838E-5</v>
      </c>
      <c r="X84" s="360">
        <f t="shared" si="122"/>
        <v>1.5619240881340838E-5</v>
      </c>
      <c r="Y84" s="4">
        <f t="shared" si="123"/>
        <v>0.78439752220301739</v>
      </c>
      <c r="Z84" s="360">
        <f t="shared" si="124"/>
        <v>6.1527947283823313E-4</v>
      </c>
      <c r="AA84" s="541">
        <f t="shared" si="125"/>
        <v>6.1527947283823313E-4</v>
      </c>
      <c r="AB84" s="360">
        <f t="shared" si="126"/>
        <v>3.6640794210490713</v>
      </c>
      <c r="AC84" s="360">
        <f t="shared" si="95"/>
        <v>8.0552868022531782E-2</v>
      </c>
      <c r="AD84" s="360">
        <f t="shared" si="96"/>
        <v>0.28005880721580428</v>
      </c>
      <c r="AE84" s="360">
        <f t="shared" si="97"/>
        <v>0.6042329999999998</v>
      </c>
      <c r="AF84" s="360">
        <f t="shared" si="98"/>
        <v>0</v>
      </c>
      <c r="AG84" s="360">
        <f t="shared" si="99"/>
        <v>0.98064340296152119</v>
      </c>
      <c r="AH84" s="360">
        <f t="shared" si="100"/>
        <v>0.80301408249505446</v>
      </c>
      <c r="AI84" s="360">
        <f t="shared" si="101"/>
        <v>1.6120790417134354E-3</v>
      </c>
      <c r="AJ84" s="360">
        <f t="shared" si="102"/>
        <v>0.14699999999999999</v>
      </c>
      <c r="AK84" s="360">
        <f t="shared" si="103"/>
        <v>0.14864850327849446</v>
      </c>
      <c r="AL84" s="360">
        <f t="shared" si="104"/>
        <v>0.14699999999999999</v>
      </c>
      <c r="AM84" s="360">
        <f t="shared" si="105"/>
        <v>1.89</v>
      </c>
      <c r="AN84" s="360">
        <f t="shared" si="106"/>
        <v>5.628123848176269E-2</v>
      </c>
      <c r="AO84" s="360">
        <f t="shared" si="107"/>
        <v>7.3499999999999998E-4</v>
      </c>
      <c r="AP84" s="360">
        <f t="shared" si="108"/>
        <v>0.32999999999999996</v>
      </c>
      <c r="AQ84" s="360">
        <f t="shared" si="109"/>
        <v>1.2539999999999998</v>
      </c>
      <c r="AR84" s="360">
        <f t="shared" si="110"/>
        <v>1.0559999999999998</v>
      </c>
      <c r="AS84" s="360">
        <f t="shared" si="133"/>
        <v>0.33073499999999995</v>
      </c>
      <c r="AT84" s="360">
        <f t="shared" si="111"/>
        <v>3.9118316932432364</v>
      </c>
      <c r="AU84">
        <f t="shared" si="112"/>
        <v>75</v>
      </c>
      <c r="AV84" s="542">
        <f t="shared" si="127"/>
        <v>0.95042781786576891</v>
      </c>
      <c r="AW84" s="551">
        <f t="shared" si="113"/>
        <v>111.40217014807607</v>
      </c>
      <c r="AX84" s="551">
        <f t="shared" si="114"/>
        <v>29.349243124582792</v>
      </c>
      <c r="AY84" s="9"/>
      <c r="AZ84" s="4">
        <f t="shared" si="128"/>
        <v>95.042781786576896</v>
      </c>
      <c r="BA84" s="360">
        <f t="shared" si="115"/>
        <v>0.35789264980773866</v>
      </c>
      <c r="BB84" s="360">
        <f t="shared" si="129"/>
        <v>3.0192919062400154</v>
      </c>
      <c r="BC84" s="360">
        <f t="shared" si="130"/>
        <v>2.2280434029615215</v>
      </c>
      <c r="BD84" s="360">
        <f t="shared" si="131"/>
        <v>0.77234850327849447</v>
      </c>
      <c r="BE84" s="360">
        <f t="shared" si="132"/>
        <v>5.628123848176269E-2</v>
      </c>
      <c r="BK84" s="18"/>
      <c r="BL84" s="19"/>
    </row>
    <row r="85" spans="1:64" x14ac:dyDescent="0.2">
      <c r="G85">
        <v>76</v>
      </c>
      <c r="H85" s="548">
        <f t="shared" si="85"/>
        <v>21</v>
      </c>
      <c r="I85" s="4">
        <f t="shared" si="86"/>
        <v>1</v>
      </c>
      <c r="J85" s="360">
        <f t="shared" si="116"/>
        <v>3.8</v>
      </c>
      <c r="K85" s="360">
        <f t="shared" si="87"/>
        <v>3.8</v>
      </c>
      <c r="L85" s="4">
        <f t="shared" si="88"/>
        <v>4.0211640211640205</v>
      </c>
      <c r="M85" s="360">
        <f t="shared" si="89"/>
        <v>0.95419462048671788</v>
      </c>
      <c r="N85" s="4">
        <f t="shared" si="90"/>
        <v>0.30597840830274076</v>
      </c>
      <c r="O85" s="4">
        <f t="shared" si="117"/>
        <v>3.9529892041513701</v>
      </c>
      <c r="P85" s="4">
        <f t="shared" si="118"/>
        <v>3.6470107958486295</v>
      </c>
      <c r="Q85" s="4">
        <f t="shared" si="91"/>
        <v>0</v>
      </c>
      <c r="R85" s="4">
        <f t="shared" si="119"/>
        <v>3.8010264270144569</v>
      </c>
      <c r="S85" s="360">
        <f t="shared" si="92"/>
        <v>5.7791207595449152E-2</v>
      </c>
      <c r="T85" s="360">
        <f t="shared" si="93"/>
        <v>0.3</v>
      </c>
      <c r="U85" s="360">
        <f t="shared" si="94"/>
        <v>0.35945306573486546</v>
      </c>
      <c r="V85" s="4">
        <f t="shared" si="120"/>
        <v>8.83283581999003E-2</v>
      </c>
      <c r="W85" s="360">
        <f t="shared" si="121"/>
        <v>1.5603797724579789E-5</v>
      </c>
      <c r="X85" s="360">
        <f t="shared" si="122"/>
        <v>1.5603797724579789E-5</v>
      </c>
      <c r="Y85" s="4">
        <f t="shared" si="123"/>
        <v>0.79465315840852335</v>
      </c>
      <c r="Z85" s="360">
        <f t="shared" si="124"/>
        <v>6.3147364216864163E-4</v>
      </c>
      <c r="AA85" s="541">
        <f t="shared" si="125"/>
        <v>6.3147364216864163E-4</v>
      </c>
      <c r="AB85" s="360">
        <f t="shared" si="126"/>
        <v>3.7129523091136227</v>
      </c>
      <c r="AC85" s="360">
        <f t="shared" si="95"/>
        <v>8.2716089098513107E-2</v>
      </c>
      <c r="AD85" s="360">
        <f t="shared" si="96"/>
        <v>0.28379292464534833</v>
      </c>
      <c r="AE85" s="360">
        <f t="shared" si="97"/>
        <v>0.6042329999999998</v>
      </c>
      <c r="AF85" s="360">
        <f t="shared" si="98"/>
        <v>0</v>
      </c>
      <c r="AG85" s="360">
        <f t="shared" si="99"/>
        <v>0.98707135009202152</v>
      </c>
      <c r="AH85" s="360">
        <f t="shared" si="100"/>
        <v>0.81350294966281789</v>
      </c>
      <c r="AI85" s="360">
        <f t="shared" si="101"/>
        <v>1.6544676227752632E-3</v>
      </c>
      <c r="AJ85" s="360">
        <f t="shared" si="102"/>
        <v>0.14895999999999998</v>
      </c>
      <c r="AK85" s="360">
        <f t="shared" si="103"/>
        <v>0.15065235353784118</v>
      </c>
      <c r="AL85" s="360">
        <f t="shared" si="104"/>
        <v>0.14895999999999998</v>
      </c>
      <c r="AM85" s="360">
        <f t="shared" si="105"/>
        <v>1.9151999999999998</v>
      </c>
      <c r="AN85" s="360">
        <f t="shared" si="106"/>
        <v>5.7791207595449152E-2</v>
      </c>
      <c r="AO85" s="360">
        <f t="shared" si="107"/>
        <v>7.3499999999999998E-4</v>
      </c>
      <c r="AP85" s="360">
        <f t="shared" si="108"/>
        <v>0.32999999999999996</v>
      </c>
      <c r="AQ85" s="360">
        <f t="shared" si="109"/>
        <v>1.2539999999999998</v>
      </c>
      <c r="AR85" s="360">
        <f t="shared" si="110"/>
        <v>1.0559999999999998</v>
      </c>
      <c r="AS85" s="360">
        <f t="shared" si="133"/>
        <v>0.33073499999999995</v>
      </c>
      <c r="AT85" s="360">
        <f t="shared" si="111"/>
        <v>3.9505100544000702</v>
      </c>
      <c r="AU85">
        <f t="shared" si="112"/>
        <v>76</v>
      </c>
      <c r="AV85" s="542">
        <f t="shared" si="127"/>
        <v>0.95058805689029302</v>
      </c>
      <c r="AW85" s="551">
        <f t="shared" si="113"/>
        <v>112.55516750460106</v>
      </c>
      <c r="AX85" s="551">
        <f t="shared" si="114"/>
        <v>29.741397434437964</v>
      </c>
      <c r="AY85" s="9"/>
      <c r="AZ85" s="4">
        <f t="shared" si="128"/>
        <v>95.058805689029299</v>
      </c>
      <c r="BA85" s="360">
        <f t="shared" si="115"/>
        <v>0.35945306573486546</v>
      </c>
      <c r="BB85" s="360">
        <f t="shared" si="129"/>
        <v>3.0529237036298627</v>
      </c>
      <c r="BC85" s="360">
        <f t="shared" si="130"/>
        <v>2.2511033500920212</v>
      </c>
      <c r="BD85" s="360">
        <f t="shared" si="131"/>
        <v>0.78266835353784114</v>
      </c>
      <c r="BE85" s="360">
        <f t="shared" si="132"/>
        <v>5.7791207595449152E-2</v>
      </c>
      <c r="BK85" s="18"/>
      <c r="BL85" s="19"/>
    </row>
    <row r="86" spans="1:64" x14ac:dyDescent="0.2">
      <c r="G86">
        <v>77</v>
      </c>
      <c r="H86" s="548">
        <f t="shared" si="85"/>
        <v>21</v>
      </c>
      <c r="I86" s="4">
        <f t="shared" si="86"/>
        <v>1</v>
      </c>
      <c r="J86" s="360">
        <f t="shared" si="116"/>
        <v>3.85</v>
      </c>
      <c r="K86" s="360">
        <f t="shared" si="87"/>
        <v>3.85</v>
      </c>
      <c r="L86" s="4">
        <f t="shared" si="88"/>
        <v>4.0740740740740735</v>
      </c>
      <c r="M86" s="360">
        <f t="shared" si="89"/>
        <v>0.95421848235340323</v>
      </c>
      <c r="N86" s="4">
        <f t="shared" si="90"/>
        <v>0.305827023594266</v>
      </c>
      <c r="O86" s="4">
        <f t="shared" si="117"/>
        <v>4.0029135117971331</v>
      </c>
      <c r="P86" s="4">
        <f t="shared" si="118"/>
        <v>3.6970864882028671</v>
      </c>
      <c r="Q86" s="4">
        <f t="shared" si="91"/>
        <v>0</v>
      </c>
      <c r="R86" s="4">
        <f t="shared" si="119"/>
        <v>3.8510120982277778</v>
      </c>
      <c r="S86" s="360">
        <f t="shared" si="92"/>
        <v>5.9321176722786848E-2</v>
      </c>
      <c r="T86" s="360">
        <f t="shared" si="93"/>
        <v>0.3</v>
      </c>
      <c r="U86" s="360">
        <f t="shared" si="94"/>
        <v>0.36103453620480563</v>
      </c>
      <c r="V86" s="4">
        <f t="shared" si="120"/>
        <v>8.8284657198805752E-2</v>
      </c>
      <c r="W86" s="360">
        <f t="shared" si="121"/>
        <v>1.5588361393421289E-5</v>
      </c>
      <c r="X86" s="360">
        <f t="shared" si="122"/>
        <v>1.5588361393421289E-5</v>
      </c>
      <c r="Y86" s="4">
        <f t="shared" si="123"/>
        <v>0.80490363325743131</v>
      </c>
      <c r="Z86" s="360">
        <f t="shared" si="124"/>
        <v>6.4786985883101349E-4</v>
      </c>
      <c r="AA86" s="541">
        <f t="shared" si="125"/>
        <v>6.4786985883101349E-4</v>
      </c>
      <c r="AB86" s="360">
        <f t="shared" si="126"/>
        <v>3.7618267910629437</v>
      </c>
      <c r="AC86" s="360">
        <f t="shared" si="95"/>
        <v>8.4908044835753552E-2</v>
      </c>
      <c r="AD86" s="360">
        <f t="shared" si="96"/>
        <v>0.28752704207489249</v>
      </c>
      <c r="AE86" s="360">
        <f t="shared" si="97"/>
        <v>0.6042329999999998</v>
      </c>
      <c r="AF86" s="360">
        <f t="shared" si="98"/>
        <v>0</v>
      </c>
      <c r="AG86" s="360">
        <f t="shared" si="99"/>
        <v>0.99353999459203279</v>
      </c>
      <c r="AH86" s="360">
        <f t="shared" si="100"/>
        <v>0.82398627096438193</v>
      </c>
      <c r="AI86" s="360">
        <f t="shared" si="101"/>
        <v>1.6973834368444697E-3</v>
      </c>
      <c r="AJ86" s="360">
        <f t="shared" si="102"/>
        <v>0.15092</v>
      </c>
      <c r="AK86" s="360">
        <f t="shared" si="103"/>
        <v>0.15265676923173013</v>
      </c>
      <c r="AL86" s="360">
        <f t="shared" si="104"/>
        <v>0.15092</v>
      </c>
      <c r="AM86" s="360">
        <f t="shared" si="105"/>
        <v>1.9403999999999999</v>
      </c>
      <c r="AN86" s="360">
        <f t="shared" si="106"/>
        <v>5.9321176722786848E-2</v>
      </c>
      <c r="AO86" s="360">
        <f t="shared" si="107"/>
        <v>7.3499999999999998E-4</v>
      </c>
      <c r="AP86" s="360">
        <f t="shared" si="108"/>
        <v>0.32999999999999996</v>
      </c>
      <c r="AQ86" s="360">
        <f t="shared" si="109"/>
        <v>1.2539999999999998</v>
      </c>
      <c r="AR86" s="360">
        <f t="shared" si="110"/>
        <v>1.0559999999999998</v>
      </c>
      <c r="AS86" s="360">
        <f t="shared" si="133"/>
        <v>0.33073499999999995</v>
      </c>
      <c r="AT86" s="360">
        <f t="shared" si="111"/>
        <v>3.9892709349715796</v>
      </c>
      <c r="AU86">
        <f t="shared" si="112"/>
        <v>77</v>
      </c>
      <c r="AV86" s="542">
        <f t="shared" si="127"/>
        <v>0.95074321710866272</v>
      </c>
      <c r="AW86" s="551">
        <f t="shared" si="113"/>
        <v>113.71019972960164</v>
      </c>
      <c r="AX86" s="551">
        <f t="shared" si="114"/>
        <v>30.133573230805744</v>
      </c>
      <c r="AY86" s="9"/>
      <c r="AZ86" s="4">
        <f t="shared" si="128"/>
        <v>95.074321710866272</v>
      </c>
      <c r="BA86" s="360">
        <f t="shared" si="115"/>
        <v>0.36103453620480563</v>
      </c>
      <c r="BB86" s="360">
        <f t="shared" si="129"/>
        <v>3.0865967638237626</v>
      </c>
      <c r="BC86" s="360">
        <f t="shared" si="130"/>
        <v>2.2742039945920327</v>
      </c>
      <c r="BD86" s="360">
        <f t="shared" si="131"/>
        <v>0.79298876923173012</v>
      </c>
      <c r="BE86" s="360">
        <f t="shared" si="132"/>
        <v>5.9321176722786848E-2</v>
      </c>
      <c r="BK86" s="18"/>
      <c r="BL86" s="19"/>
    </row>
    <row r="87" spans="1:64" x14ac:dyDescent="0.2">
      <c r="G87">
        <v>78</v>
      </c>
      <c r="H87" s="548">
        <f t="shared" si="85"/>
        <v>21</v>
      </c>
      <c r="I87" s="4">
        <f t="shared" si="86"/>
        <v>1</v>
      </c>
      <c r="J87" s="360">
        <f t="shared" si="116"/>
        <v>3.9</v>
      </c>
      <c r="K87" s="360">
        <f t="shared" si="87"/>
        <v>3.9</v>
      </c>
      <c r="L87" s="4">
        <f t="shared" si="88"/>
        <v>4.1269841269841265</v>
      </c>
      <c r="M87" s="360">
        <f t="shared" si="89"/>
        <v>0.95424234416328002</v>
      </c>
      <c r="N87" s="4">
        <f t="shared" si="90"/>
        <v>0.30567563091363686</v>
      </c>
      <c r="O87" s="4">
        <f t="shared" si="117"/>
        <v>4.0528378154568188</v>
      </c>
      <c r="P87" s="4">
        <f t="shared" si="118"/>
        <v>3.7471621845431815</v>
      </c>
      <c r="Q87" s="4">
        <f t="shared" si="91"/>
        <v>0</v>
      </c>
      <c r="R87" s="4">
        <f t="shared" si="119"/>
        <v>3.9009981371367681</v>
      </c>
      <c r="S87" s="360">
        <f t="shared" si="92"/>
        <v>6.0871145863778141E-2</v>
      </c>
      <c r="T87" s="360">
        <f t="shared" si="93"/>
        <v>0.3</v>
      </c>
      <c r="U87" s="360">
        <f t="shared" si="94"/>
        <v>0.3626370766146762</v>
      </c>
      <c r="V87" s="4">
        <f t="shared" si="120"/>
        <v>8.8240953896348479E-2</v>
      </c>
      <c r="W87" s="360">
        <f t="shared" si="121"/>
        <v>1.5572931889074997E-5</v>
      </c>
      <c r="X87" s="360">
        <f t="shared" si="122"/>
        <v>1.5572931889074997E-5</v>
      </c>
      <c r="Y87" s="4">
        <f t="shared" si="123"/>
        <v>0.81514894125630577</v>
      </c>
      <c r="Z87" s="360">
        <f t="shared" si="124"/>
        <v>6.6446779643127615E-4</v>
      </c>
      <c r="AA87" s="541">
        <f t="shared" si="125"/>
        <v>6.6446779643127615E-4</v>
      </c>
      <c r="AB87" s="360">
        <f t="shared" si="126"/>
        <v>3.8107028525246034</v>
      </c>
      <c r="AC87" s="360">
        <f t="shared" si="95"/>
        <v>8.7128737381434895E-2</v>
      </c>
      <c r="AD87" s="360">
        <f t="shared" si="96"/>
        <v>0.29126115950443643</v>
      </c>
      <c r="AE87" s="360">
        <f t="shared" si="97"/>
        <v>0.6042329999999998</v>
      </c>
      <c r="AF87" s="360">
        <f t="shared" si="98"/>
        <v>0</v>
      </c>
      <c r="AG87" s="360">
        <f t="shared" si="99"/>
        <v>1.0000495070596784</v>
      </c>
      <c r="AH87" s="360">
        <f t="shared" si="100"/>
        <v>0.83446404099001492</v>
      </c>
      <c r="AI87" s="360">
        <f t="shared" si="101"/>
        <v>1.7408255892634634E-3</v>
      </c>
      <c r="AJ87" s="360">
        <f t="shared" si="102"/>
        <v>0.15287999999999999</v>
      </c>
      <c r="AK87" s="360">
        <f t="shared" si="103"/>
        <v>0.1546617499373231</v>
      </c>
      <c r="AL87" s="360">
        <f t="shared" si="104"/>
        <v>0.15287999999999999</v>
      </c>
      <c r="AM87" s="360">
        <f t="shared" si="105"/>
        <v>1.9655999999999998</v>
      </c>
      <c r="AN87" s="360">
        <f t="shared" si="106"/>
        <v>6.0871145863778141E-2</v>
      </c>
      <c r="AO87" s="360">
        <f t="shared" si="107"/>
        <v>7.3499999999999998E-4</v>
      </c>
      <c r="AP87" s="360">
        <f t="shared" si="108"/>
        <v>0.32999999999999996</v>
      </c>
      <c r="AQ87" s="360">
        <f t="shared" si="109"/>
        <v>1.2539999999999998</v>
      </c>
      <c r="AR87" s="360">
        <f t="shared" si="110"/>
        <v>1.0559999999999998</v>
      </c>
      <c r="AS87" s="360">
        <f t="shared" si="133"/>
        <v>0.33073499999999995</v>
      </c>
      <c r="AT87" s="360">
        <f t="shared" si="111"/>
        <v>4.0281145202037756</v>
      </c>
      <c r="AU87">
        <f t="shared" si="112"/>
        <v>78</v>
      </c>
      <c r="AV87" s="542">
        <f t="shared" si="127"/>
        <v>0.95089348885117142</v>
      </c>
      <c r="AW87" s="551">
        <f t="shared" si="113"/>
        <v>114.86727535298394</v>
      </c>
      <c r="AX87" s="551">
        <f t="shared" si="114"/>
        <v>30.525770497618275</v>
      </c>
      <c r="AY87" s="9"/>
      <c r="AZ87" s="4">
        <f t="shared" si="128"/>
        <v>95.089348885117147</v>
      </c>
      <c r="BA87" s="360">
        <f t="shared" si="115"/>
        <v>0.3626370766146762</v>
      </c>
      <c r="BB87" s="360">
        <f t="shared" si="129"/>
        <v>3.1203112569970015</v>
      </c>
      <c r="BC87" s="360">
        <f t="shared" si="130"/>
        <v>2.2973455070596787</v>
      </c>
      <c r="BD87" s="360">
        <f t="shared" si="131"/>
        <v>0.80330974993732307</v>
      </c>
      <c r="BE87" s="360">
        <f t="shared" si="132"/>
        <v>6.0871145863778141E-2</v>
      </c>
      <c r="BK87" s="18"/>
      <c r="BL87" s="19"/>
    </row>
    <row r="88" spans="1:64" x14ac:dyDescent="0.2">
      <c r="G88">
        <v>79</v>
      </c>
      <c r="H88" s="548">
        <f t="shared" si="85"/>
        <v>21</v>
      </c>
      <c r="I88" s="4">
        <f t="shared" si="86"/>
        <v>1</v>
      </c>
      <c r="J88" s="360">
        <f t="shared" si="116"/>
        <v>3.95</v>
      </c>
      <c r="K88" s="360">
        <f t="shared" si="87"/>
        <v>3.95</v>
      </c>
      <c r="L88" s="4">
        <f t="shared" si="88"/>
        <v>4.1798941798941796</v>
      </c>
      <c r="M88" s="360">
        <f t="shared" si="89"/>
        <v>0.95426620591634814</v>
      </c>
      <c r="N88" s="4">
        <f t="shared" si="90"/>
        <v>0.30552423026088404</v>
      </c>
      <c r="O88" s="4">
        <f t="shared" si="117"/>
        <v>4.1027621151304423</v>
      </c>
      <c r="P88" s="4">
        <f t="shared" si="118"/>
        <v>3.797237884869558</v>
      </c>
      <c r="Q88" s="4">
        <f t="shared" si="91"/>
        <v>0</v>
      </c>
      <c r="R88" s="4">
        <f t="shared" si="119"/>
        <v>3.9509845297857566</v>
      </c>
      <c r="S88" s="360">
        <f t="shared" si="92"/>
        <v>6.244111501842551E-2</v>
      </c>
      <c r="T88" s="360">
        <f t="shared" si="93"/>
        <v>0.3</v>
      </c>
      <c r="U88" s="360">
        <f t="shared" si="94"/>
        <v>0.36426070257250731</v>
      </c>
      <c r="V88" s="4">
        <f t="shared" si="120"/>
        <v>8.8197248292537306E-2</v>
      </c>
      <c r="W88" s="360">
        <f t="shared" si="121"/>
        <v>1.5557509212750949E-5</v>
      </c>
      <c r="X88" s="360">
        <f t="shared" si="122"/>
        <v>1.5557509212750949E-5</v>
      </c>
      <c r="Y88" s="4">
        <f t="shared" si="123"/>
        <v>0.82538907706775677</v>
      </c>
      <c r="Z88" s="360">
        <f t="shared" si="124"/>
        <v>6.8126712854276329E-4</v>
      </c>
      <c r="AA88" s="541">
        <f t="shared" si="125"/>
        <v>6.8126712854276329E-4</v>
      </c>
      <c r="AB88" s="360">
        <f t="shared" si="126"/>
        <v>3.8595804798520268</v>
      </c>
      <c r="AC88" s="360">
        <f t="shared" si="95"/>
        <v>8.9378168882728815E-2</v>
      </c>
      <c r="AD88" s="360">
        <f t="shared" si="96"/>
        <v>0.29499527693398053</v>
      </c>
      <c r="AE88" s="360">
        <f t="shared" si="97"/>
        <v>0.6042329999999998</v>
      </c>
      <c r="AF88" s="360">
        <f t="shared" si="98"/>
        <v>0</v>
      </c>
      <c r="AG88" s="360">
        <f t="shared" si="99"/>
        <v>1.0066000598459648</v>
      </c>
      <c r="AH88" s="360">
        <f t="shared" si="100"/>
        <v>0.84493625448999021</v>
      </c>
      <c r="AI88" s="360">
        <f t="shared" si="101"/>
        <v>1.7847931853789338E-3</v>
      </c>
      <c r="AJ88" s="360">
        <f t="shared" si="102"/>
        <v>0.15484000000000001</v>
      </c>
      <c r="AK88" s="360">
        <f t="shared" si="103"/>
        <v>0.15666729523095574</v>
      </c>
      <c r="AL88" s="360">
        <f t="shared" si="104"/>
        <v>0.15484000000000001</v>
      </c>
      <c r="AM88" s="360">
        <f t="shared" si="105"/>
        <v>1.9907999999999999</v>
      </c>
      <c r="AN88" s="360">
        <f t="shared" si="106"/>
        <v>6.244111501842551E-2</v>
      </c>
      <c r="AO88" s="360">
        <f t="shared" si="107"/>
        <v>7.3499999999999998E-4</v>
      </c>
      <c r="AP88" s="360">
        <f t="shared" si="108"/>
        <v>0.32999999999999996</v>
      </c>
      <c r="AQ88" s="360">
        <f t="shared" si="109"/>
        <v>1.2539999999999998</v>
      </c>
      <c r="AR88" s="360">
        <f t="shared" si="110"/>
        <v>1.0559999999999998</v>
      </c>
      <c r="AS88" s="360">
        <f t="shared" si="133"/>
        <v>0.33073499999999995</v>
      </c>
      <c r="AT88" s="360">
        <f t="shared" si="111"/>
        <v>4.0670409973056092</v>
      </c>
      <c r="AU88">
        <f t="shared" si="112"/>
        <v>79</v>
      </c>
      <c r="AV88" s="542">
        <f t="shared" si="127"/>
        <v>0.95103905293270852</v>
      </c>
      <c r="AW88" s="551">
        <f t="shared" si="113"/>
        <v>116.02640299229824</v>
      </c>
      <c r="AX88" s="551">
        <f t="shared" si="114"/>
        <v>30.917989218776317</v>
      </c>
      <c r="AY88" s="9"/>
      <c r="AZ88" s="4">
        <f t="shared" si="128"/>
        <v>95.103905293270856</v>
      </c>
      <c r="BA88" s="360">
        <f t="shared" si="115"/>
        <v>0.36426070257250731</v>
      </c>
      <c r="BB88" s="360">
        <f t="shared" si="129"/>
        <v>3.1540673550769203</v>
      </c>
      <c r="BC88" s="360">
        <f t="shared" si="130"/>
        <v>2.320528059845965</v>
      </c>
      <c r="BD88" s="360">
        <f t="shared" si="131"/>
        <v>0.81363129523095568</v>
      </c>
      <c r="BE88" s="360">
        <f t="shared" si="132"/>
        <v>6.244111501842551E-2</v>
      </c>
      <c r="BK88" s="18"/>
      <c r="BL88" s="19"/>
    </row>
    <row r="89" spans="1:64" x14ac:dyDescent="0.2">
      <c r="G89">
        <v>80</v>
      </c>
      <c r="H89" s="548">
        <f t="shared" si="85"/>
        <v>21</v>
      </c>
      <c r="I89" s="4">
        <f t="shared" si="86"/>
        <v>1</v>
      </c>
      <c r="J89" s="360">
        <f t="shared" si="116"/>
        <v>4</v>
      </c>
      <c r="K89" s="360">
        <f t="shared" si="87"/>
        <v>4</v>
      </c>
      <c r="L89" s="4">
        <f t="shared" si="88"/>
        <v>4.2328042328042326</v>
      </c>
      <c r="M89" s="360">
        <f t="shared" si="89"/>
        <v>0.95429006761260848</v>
      </c>
      <c r="N89" s="4">
        <f t="shared" si="90"/>
        <v>0.30537282163603502</v>
      </c>
      <c r="O89" s="4">
        <f t="shared" si="117"/>
        <v>4.1526864108180179</v>
      </c>
      <c r="P89" s="4">
        <f t="shared" si="118"/>
        <v>3.8473135891819825</v>
      </c>
      <c r="Q89" s="4">
        <f t="shared" si="91"/>
        <v>0</v>
      </c>
      <c r="R89" s="4">
        <f t="shared" si="119"/>
        <v>4.0009712629163969</v>
      </c>
      <c r="S89" s="360">
        <f t="shared" si="92"/>
        <v>6.4031084186731313E-2</v>
      </c>
      <c r="T89" s="360">
        <f t="shared" si="93"/>
        <v>0.3</v>
      </c>
      <c r="U89" s="360">
        <f t="shared" si="94"/>
        <v>0.36590542989762387</v>
      </c>
      <c r="V89" s="4">
        <f t="shared" si="120"/>
        <v>8.81535403873802E-2</v>
      </c>
      <c r="W89" s="360">
        <f t="shared" si="121"/>
        <v>1.5542093365658945E-5</v>
      </c>
      <c r="X89" s="360">
        <f t="shared" si="122"/>
        <v>1.5542093365658945E-5</v>
      </c>
      <c r="Y89" s="4">
        <f t="shared" si="123"/>
        <v>0.83562403550052977</v>
      </c>
      <c r="Z89" s="360">
        <f t="shared" si="124"/>
        <v>6.9826752870619073E-4</v>
      </c>
      <c r="AA89" s="541">
        <f t="shared" si="125"/>
        <v>6.9826752870619073E-4</v>
      </c>
      <c r="AB89" s="360">
        <f t="shared" si="126"/>
        <v>3.9084596600791612</v>
      </c>
      <c r="AC89" s="360">
        <f t="shared" si="95"/>
        <v>9.1656341486796675E-2</v>
      </c>
      <c r="AD89" s="360">
        <f t="shared" si="96"/>
        <v>0.29872939436352458</v>
      </c>
      <c r="AE89" s="360">
        <f t="shared" si="97"/>
        <v>0.6042329999999998</v>
      </c>
      <c r="AF89" s="360">
        <f t="shared" si="98"/>
        <v>0</v>
      </c>
      <c r="AG89" s="360">
        <f t="shared" si="99"/>
        <v>1.0131918270690148</v>
      </c>
      <c r="AH89" s="360">
        <f t="shared" si="100"/>
        <v>0.85540290636443106</v>
      </c>
      <c r="AI89" s="360">
        <f t="shared" si="101"/>
        <v>1.8292853305417892E-3</v>
      </c>
      <c r="AJ89" s="360">
        <f t="shared" si="102"/>
        <v>0.15679999999999999</v>
      </c>
      <c r="AK89" s="360">
        <f t="shared" si="103"/>
        <v>0.15867340468813637</v>
      </c>
      <c r="AL89" s="360">
        <f t="shared" si="104"/>
        <v>0.15679999999999999</v>
      </c>
      <c r="AM89" s="360">
        <f t="shared" si="105"/>
        <v>2.0159999999999996</v>
      </c>
      <c r="AN89" s="360">
        <f t="shared" si="106"/>
        <v>6.4031084186731313E-2</v>
      </c>
      <c r="AO89" s="360">
        <f t="shared" si="107"/>
        <v>7.3499999999999998E-4</v>
      </c>
      <c r="AP89" s="360">
        <f t="shared" si="108"/>
        <v>0.32999999999999996</v>
      </c>
      <c r="AQ89" s="360">
        <f t="shared" si="109"/>
        <v>1.2539999999999998</v>
      </c>
      <c r="AR89" s="360">
        <f t="shared" si="110"/>
        <v>1.0559999999999998</v>
      </c>
      <c r="AS89" s="360">
        <f t="shared" si="133"/>
        <v>0.33073499999999995</v>
      </c>
      <c r="AT89" s="360">
        <f t="shared" si="111"/>
        <v>4.106050555463578</v>
      </c>
      <c r="AU89">
        <f t="shared" si="112"/>
        <v>80</v>
      </c>
      <c r="AV89" s="542">
        <f t="shared" si="127"/>
        <v>0.95118008123855657</v>
      </c>
      <c r="AW89" s="551">
        <f t="shared" si="113"/>
        <v>117.18759135345071</v>
      </c>
      <c r="AX89" s="551">
        <f t="shared" si="114"/>
        <v>31.310229378149177</v>
      </c>
      <c r="AY89" s="9"/>
      <c r="AZ89" s="4">
        <f t="shared" si="128"/>
        <v>95.11800812385566</v>
      </c>
      <c r="BA89" s="360">
        <f t="shared" si="115"/>
        <v>0.36590542989762387</v>
      </c>
      <c r="BB89" s="360">
        <f t="shared" si="129"/>
        <v>3.1878652317571508</v>
      </c>
      <c r="BC89" s="360">
        <f t="shared" si="130"/>
        <v>2.3437518270690143</v>
      </c>
      <c r="BD89" s="360">
        <f t="shared" si="131"/>
        <v>0.82395340468813627</v>
      </c>
      <c r="BE89" s="360">
        <f t="shared" si="132"/>
        <v>6.4031084186731313E-2</v>
      </c>
      <c r="BK89" s="18"/>
      <c r="BL89" s="19"/>
    </row>
    <row r="90" spans="1:64" x14ac:dyDescent="0.2">
      <c r="G90">
        <v>81</v>
      </c>
      <c r="H90" s="548">
        <f t="shared" si="85"/>
        <v>21</v>
      </c>
      <c r="I90" s="4">
        <f t="shared" si="86"/>
        <v>1</v>
      </c>
      <c r="J90" s="360">
        <f t="shared" si="116"/>
        <v>4.05</v>
      </c>
      <c r="K90" s="360">
        <f t="shared" si="87"/>
        <v>4.05</v>
      </c>
      <c r="L90" s="4">
        <f t="shared" si="88"/>
        <v>4.2857142857142856</v>
      </c>
      <c r="M90" s="360">
        <f t="shared" si="89"/>
        <v>0.95431392925206027</v>
      </c>
      <c r="N90" s="4">
        <f t="shared" si="90"/>
        <v>0.30522140503911682</v>
      </c>
      <c r="O90" s="4">
        <f t="shared" si="117"/>
        <v>4.202610702519558</v>
      </c>
      <c r="P90" s="4">
        <f t="shared" si="118"/>
        <v>3.8973892974804416</v>
      </c>
      <c r="Q90" s="4">
        <f t="shared" si="91"/>
        <v>0</v>
      </c>
      <c r="R90" s="4">
        <f t="shared" si="119"/>
        <v>4.0509583239246618</v>
      </c>
      <c r="S90" s="360">
        <f t="shared" si="92"/>
        <v>6.5641053368698021E-2</v>
      </c>
      <c r="T90" s="360">
        <f t="shared" si="93"/>
        <v>0.3</v>
      </c>
      <c r="U90" s="360">
        <f t="shared" si="94"/>
        <v>0.36757127462103401</v>
      </c>
      <c r="V90" s="4">
        <f t="shared" si="120"/>
        <v>8.8109830180884946E-2</v>
      </c>
      <c r="W90" s="360">
        <f t="shared" si="121"/>
        <v>1.5526684349008767E-5</v>
      </c>
      <c r="X90" s="360">
        <f t="shared" si="122"/>
        <v>1.5526684349008767E-5</v>
      </c>
      <c r="Y90" s="4">
        <f t="shared" si="123"/>
        <v>0.84585381150036598</v>
      </c>
      <c r="Z90" s="360">
        <f t="shared" si="124"/>
        <v>7.154686704296967E-4</v>
      </c>
      <c r="AA90" s="541">
        <f t="shared" si="125"/>
        <v>7.154686704296967E-4</v>
      </c>
      <c r="AB90" s="360">
        <f t="shared" si="126"/>
        <v>3.957340380878501</v>
      </c>
      <c r="AC90" s="360">
        <f t="shared" si="95"/>
        <v>9.3963257340789599E-2</v>
      </c>
      <c r="AD90" s="360">
        <f t="shared" si="96"/>
        <v>0.30246351179306863</v>
      </c>
      <c r="AE90" s="360">
        <f t="shared" si="97"/>
        <v>0.6042329999999998</v>
      </c>
      <c r="AF90" s="360">
        <f t="shared" si="98"/>
        <v>0</v>
      </c>
      <c r="AG90" s="360">
        <f t="shared" si="99"/>
        <v>1.019824984628501</v>
      </c>
      <c r="AH90" s="360">
        <f t="shared" si="100"/>
        <v>0.86586399165394701</v>
      </c>
      <c r="AI90" s="360">
        <f t="shared" si="101"/>
        <v>1.874301130107266E-3</v>
      </c>
      <c r="AJ90" s="360">
        <f t="shared" si="102"/>
        <v>0.15875999999999998</v>
      </c>
      <c r="AK90" s="360">
        <f t="shared" si="103"/>
        <v>0.1606800778835448</v>
      </c>
      <c r="AL90" s="360">
        <f t="shared" si="104"/>
        <v>0.15875999999999998</v>
      </c>
      <c r="AM90" s="360">
        <f t="shared" si="105"/>
        <v>2.0411999999999999</v>
      </c>
      <c r="AN90" s="360">
        <f t="shared" si="106"/>
        <v>6.5641053368698021E-2</v>
      </c>
      <c r="AO90" s="360">
        <f t="shared" si="107"/>
        <v>7.3499999999999998E-4</v>
      </c>
      <c r="AP90" s="360">
        <f t="shared" si="108"/>
        <v>0.32999999999999996</v>
      </c>
      <c r="AQ90" s="360">
        <f t="shared" si="109"/>
        <v>1.2539999999999998</v>
      </c>
      <c r="AR90" s="360">
        <f t="shared" si="110"/>
        <v>1.0559999999999998</v>
      </c>
      <c r="AS90" s="360">
        <f t="shared" si="133"/>
        <v>0.33073499999999995</v>
      </c>
      <c r="AT90" s="360">
        <f t="shared" si="111"/>
        <v>4.1451433858565565</v>
      </c>
      <c r="AU90">
        <f t="shared" si="112"/>
        <v>81</v>
      </c>
      <c r="AV90" s="542">
        <f t="shared" si="127"/>
        <v>0.9513167372674235</v>
      </c>
      <c r="AW90" s="551">
        <f t="shared" si="113"/>
        <v>118.35084923142504</v>
      </c>
      <c r="AX90" s="551">
        <f t="shared" si="114"/>
        <v>31.7024909595747</v>
      </c>
      <c r="AY90" s="9"/>
      <c r="AZ90" s="4">
        <f t="shared" si="128"/>
        <v>95.131673726742349</v>
      </c>
      <c r="BA90" s="360">
        <f t="shared" si="115"/>
        <v>0.36757127462103401</v>
      </c>
      <c r="BB90" s="360">
        <f t="shared" si="129"/>
        <v>3.2217050625120458</v>
      </c>
      <c r="BC90" s="360">
        <f t="shared" si="130"/>
        <v>2.367016984628501</v>
      </c>
      <c r="BD90" s="360">
        <f t="shared" si="131"/>
        <v>0.83427607788354474</v>
      </c>
      <c r="BE90" s="360">
        <f t="shared" si="132"/>
        <v>6.5641053368698021E-2</v>
      </c>
      <c r="BK90" s="18"/>
      <c r="BL90" s="19"/>
    </row>
    <row r="91" spans="1:64" x14ac:dyDescent="0.2">
      <c r="G91">
        <v>82</v>
      </c>
      <c r="H91" s="548">
        <f t="shared" si="85"/>
        <v>21</v>
      </c>
      <c r="I91" s="4">
        <f t="shared" si="86"/>
        <v>1</v>
      </c>
      <c r="J91" s="360">
        <f t="shared" si="116"/>
        <v>4.0999999999999996</v>
      </c>
      <c r="K91" s="360">
        <f t="shared" si="87"/>
        <v>4.0999999999999996</v>
      </c>
      <c r="L91" s="4">
        <f t="shared" si="88"/>
        <v>4.3386243386243377</v>
      </c>
      <c r="M91" s="360">
        <f t="shared" si="89"/>
        <v>0.95433779083470427</v>
      </c>
      <c r="N91" s="4">
        <f t="shared" si="90"/>
        <v>0.30506998047016037</v>
      </c>
      <c r="O91" s="4">
        <f t="shared" si="117"/>
        <v>4.2525349902350795</v>
      </c>
      <c r="P91" s="4">
        <f t="shared" si="118"/>
        <v>3.9474650097649193</v>
      </c>
      <c r="Q91" s="4">
        <f t="shared" si="91"/>
        <v>0</v>
      </c>
      <c r="R91" s="4">
        <f t="shared" si="119"/>
        <v>4.1009457008209713</v>
      </c>
      <c r="S91" s="360">
        <f t="shared" si="92"/>
        <v>6.7271022564328042E-2</v>
      </c>
      <c r="T91" s="360">
        <f t="shared" si="93"/>
        <v>0.3</v>
      </c>
      <c r="U91" s="360">
        <f t="shared" si="94"/>
        <v>0.36925825298582188</v>
      </c>
      <c r="V91" s="4">
        <f t="shared" si="120"/>
        <v>8.8066117673060482E-2</v>
      </c>
      <c r="W91" s="360">
        <f t="shared" si="121"/>
        <v>1.551128216401067E-5</v>
      </c>
      <c r="X91" s="360">
        <f t="shared" si="122"/>
        <v>1.551128216401067E-5</v>
      </c>
      <c r="Y91" s="4">
        <f t="shared" si="123"/>
        <v>0.85607840014147973</v>
      </c>
      <c r="Z91" s="360">
        <f t="shared" si="124"/>
        <v>7.3287022718879549E-4</v>
      </c>
      <c r="AA91" s="541">
        <f t="shared" si="125"/>
        <v>7.3287022718879549E-4</v>
      </c>
      <c r="AB91" s="360">
        <f t="shared" si="126"/>
        <v>4.006222630522184</v>
      </c>
      <c r="AC91" s="360">
        <f t="shared" si="95"/>
        <v>9.6298918591848526E-2</v>
      </c>
      <c r="AD91" s="360">
        <f t="shared" si="96"/>
        <v>0.30619762922261268</v>
      </c>
      <c r="AE91" s="360">
        <f t="shared" si="97"/>
        <v>0.6042329999999998</v>
      </c>
      <c r="AF91" s="360">
        <f t="shared" si="98"/>
        <v>0</v>
      </c>
      <c r="AG91" s="360">
        <f t="shared" si="99"/>
        <v>1.0264997102202726</v>
      </c>
      <c r="AH91" s="360">
        <f t="shared" si="100"/>
        <v>0.87631950553089877</v>
      </c>
      <c r="AI91" s="360">
        <f t="shared" si="101"/>
        <v>1.9198396894347972E-3</v>
      </c>
      <c r="AJ91" s="360">
        <f t="shared" si="102"/>
        <v>0.16071999999999997</v>
      </c>
      <c r="AK91" s="360">
        <f t="shared" si="103"/>
        <v>0.16268731439103137</v>
      </c>
      <c r="AL91" s="360">
        <f t="shared" si="104"/>
        <v>0.16071999999999997</v>
      </c>
      <c r="AM91" s="360">
        <f t="shared" si="105"/>
        <v>2.0663999999999998</v>
      </c>
      <c r="AN91" s="360">
        <f t="shared" si="106"/>
        <v>6.7271022564328042E-2</v>
      </c>
      <c r="AO91" s="360">
        <f t="shared" si="107"/>
        <v>7.3499999999999998E-4</v>
      </c>
      <c r="AP91" s="360">
        <f t="shared" si="108"/>
        <v>0.32999999999999996</v>
      </c>
      <c r="AQ91" s="360">
        <f t="shared" si="109"/>
        <v>1.2539999999999998</v>
      </c>
      <c r="AR91" s="360">
        <f t="shared" si="110"/>
        <v>1.0559999999999998</v>
      </c>
      <c r="AS91" s="360">
        <f t="shared" si="133"/>
        <v>0.33073499999999995</v>
      </c>
      <c r="AT91" s="360">
        <f t="shared" si="111"/>
        <v>4.1843196816708064</v>
      </c>
      <c r="AU91">
        <f t="shared" si="112"/>
        <v>82</v>
      </c>
      <c r="AV91" s="542">
        <f t="shared" si="127"/>
        <v>0.9514491766353097</v>
      </c>
      <c r="AW91" s="551">
        <f t="shared" si="113"/>
        <v>119.51618551101362</v>
      </c>
      <c r="AX91" s="551">
        <f t="shared" si="114"/>
        <v>32.094773946859192</v>
      </c>
      <c r="AY91" s="9"/>
      <c r="AZ91" s="4">
        <f t="shared" si="128"/>
        <v>95.144917663530975</v>
      </c>
      <c r="BA91" s="360">
        <f t="shared" si="115"/>
        <v>0.36925825298582188</v>
      </c>
      <c r="BB91" s="360">
        <f t="shared" si="129"/>
        <v>3.2555870246113039</v>
      </c>
      <c r="BC91" s="360">
        <f t="shared" si="130"/>
        <v>2.3903237102202723</v>
      </c>
      <c r="BD91" s="360">
        <f t="shared" si="131"/>
        <v>0.84459931439103131</v>
      </c>
      <c r="BE91" s="360">
        <f t="shared" si="132"/>
        <v>6.7271022564328042E-2</v>
      </c>
      <c r="BK91" s="18"/>
      <c r="BL91" s="19"/>
    </row>
    <row r="92" spans="1:64" x14ac:dyDescent="0.2">
      <c r="G92">
        <v>83</v>
      </c>
      <c r="H92" s="548">
        <f t="shared" si="85"/>
        <v>21</v>
      </c>
      <c r="I92" s="4">
        <f t="shared" si="86"/>
        <v>1</v>
      </c>
      <c r="J92" s="360">
        <f t="shared" si="116"/>
        <v>4.1500000000000004</v>
      </c>
      <c r="K92" s="360">
        <f t="shared" si="87"/>
        <v>4.1500000000000004</v>
      </c>
      <c r="L92" s="4">
        <f t="shared" si="88"/>
        <v>4.3915343915343907</v>
      </c>
      <c r="M92" s="360">
        <f t="shared" si="89"/>
        <v>0.95436165236054049</v>
      </c>
      <c r="N92" s="4">
        <f t="shared" si="90"/>
        <v>0.30491854792919293</v>
      </c>
      <c r="O92" s="4">
        <f t="shared" si="117"/>
        <v>4.3024592739645966</v>
      </c>
      <c r="P92" s="4">
        <f t="shared" si="118"/>
        <v>3.9975407260354041</v>
      </c>
      <c r="Q92" s="4">
        <f t="shared" si="91"/>
        <v>0</v>
      </c>
      <c r="R92" s="4">
        <f t="shared" si="119"/>
        <v>4.150933382193208</v>
      </c>
      <c r="S92" s="360">
        <f t="shared" si="92"/>
        <v>6.8920991773623791E-2</v>
      </c>
      <c r="T92" s="360">
        <f t="shared" si="93"/>
        <v>0.3</v>
      </c>
      <c r="U92" s="360">
        <f t="shared" si="94"/>
        <v>0.37096638144754679</v>
      </c>
      <c r="V92" s="4">
        <f t="shared" si="120"/>
        <v>8.8022402863914675E-2</v>
      </c>
      <c r="W92" s="360">
        <f t="shared" si="121"/>
        <v>1.5495886811874588E-5</v>
      </c>
      <c r="X92" s="360">
        <f t="shared" si="122"/>
        <v>1.5495886811874588E-5</v>
      </c>
      <c r="Y92" s="4">
        <f t="shared" si="123"/>
        <v>0.8662977966186981</v>
      </c>
      <c r="Z92" s="360">
        <f t="shared" si="124"/>
        <v>7.5047187242641123E-4</v>
      </c>
      <c r="AA92" s="541">
        <f t="shared" si="125"/>
        <v>7.5047187242641123E-4</v>
      </c>
      <c r="AB92" s="360">
        <f t="shared" si="126"/>
        <v>4.0551063978458943</v>
      </c>
      <c r="AC92" s="360">
        <f t="shared" si="95"/>
        <v>9.8663327387104233E-2</v>
      </c>
      <c r="AD92" s="360">
        <f t="shared" si="96"/>
        <v>0.30993174665215678</v>
      </c>
      <c r="AE92" s="360">
        <f t="shared" si="97"/>
        <v>0.6042329999999998</v>
      </c>
      <c r="AF92" s="360">
        <f t="shared" si="98"/>
        <v>0</v>
      </c>
      <c r="AG92" s="360">
        <f t="shared" si="99"/>
        <v>1.0332161833511873</v>
      </c>
      <c r="AH92" s="360">
        <f t="shared" si="100"/>
        <v>0.88676944329134544</v>
      </c>
      <c r="AI92" s="360">
        <f t="shared" si="101"/>
        <v>1.9659001138881069E-3</v>
      </c>
      <c r="AJ92" s="360">
        <f t="shared" si="102"/>
        <v>0.16268000000000002</v>
      </c>
      <c r="AK92" s="360">
        <f t="shared" si="103"/>
        <v>0.16469511378361562</v>
      </c>
      <c r="AL92" s="360">
        <f t="shared" si="104"/>
        <v>0.16268000000000002</v>
      </c>
      <c r="AM92" s="360">
        <f t="shared" si="105"/>
        <v>2.0916000000000001</v>
      </c>
      <c r="AN92" s="360">
        <f t="shared" si="106"/>
        <v>6.8920991773623791E-2</v>
      </c>
      <c r="AO92" s="360">
        <f t="shared" si="107"/>
        <v>7.3499999999999998E-4</v>
      </c>
      <c r="AP92" s="360">
        <f t="shared" si="108"/>
        <v>0.32999999999999996</v>
      </c>
      <c r="AQ92" s="360">
        <f t="shared" si="109"/>
        <v>1.2539999999999998</v>
      </c>
      <c r="AR92" s="360">
        <f t="shared" si="110"/>
        <v>1.0559999999999998</v>
      </c>
      <c r="AS92" s="360">
        <f t="shared" si="133"/>
        <v>0.33073499999999995</v>
      </c>
      <c r="AT92" s="360">
        <f t="shared" si="111"/>
        <v>4.2235796381152113</v>
      </c>
      <c r="AU92">
        <f t="shared" si="112"/>
        <v>83</v>
      </c>
      <c r="AV92" s="542">
        <f t="shared" si="127"/>
        <v>0.95157754754346746</v>
      </c>
      <c r="AW92" s="551">
        <f t="shared" si="113"/>
        <v>120.68360916755938</v>
      </c>
      <c r="AX92" s="551">
        <f t="shared" si="114"/>
        <v>32.487078323777396</v>
      </c>
      <c r="AY92" s="9"/>
      <c r="AZ92" s="4">
        <f t="shared" si="128"/>
        <v>95.15775475434674</v>
      </c>
      <c r="BA92" s="360">
        <f t="shared" si="115"/>
        <v>0.37096638144754679</v>
      </c>
      <c r="BB92" s="360">
        <f t="shared" si="129"/>
        <v>3.2895112971348031</v>
      </c>
      <c r="BC92" s="360">
        <f t="shared" si="130"/>
        <v>2.4136721833511876</v>
      </c>
      <c r="BD92" s="360">
        <f t="shared" si="131"/>
        <v>0.85492311378361574</v>
      </c>
      <c r="BE92" s="360">
        <f t="shared" si="132"/>
        <v>6.8920991773623791E-2</v>
      </c>
      <c r="BK92" s="18"/>
      <c r="BL92" s="19"/>
    </row>
    <row r="93" spans="1:64" x14ac:dyDescent="0.2">
      <c r="G93">
        <v>84</v>
      </c>
      <c r="H93" s="548">
        <f t="shared" si="85"/>
        <v>21</v>
      </c>
      <c r="I93" s="4">
        <f t="shared" si="86"/>
        <v>1</v>
      </c>
      <c r="J93" s="360">
        <f t="shared" si="116"/>
        <v>4.2</v>
      </c>
      <c r="K93" s="360">
        <f t="shared" si="87"/>
        <v>4.2</v>
      </c>
      <c r="L93" s="4">
        <f t="shared" si="88"/>
        <v>4.4444444444444438</v>
      </c>
      <c r="M93" s="360">
        <f t="shared" si="89"/>
        <v>0.95438551382956949</v>
      </c>
      <c r="N93" s="4">
        <f t="shared" si="90"/>
        <v>0.30476710741624202</v>
      </c>
      <c r="O93" s="4">
        <f t="shared" si="117"/>
        <v>4.3523835537081208</v>
      </c>
      <c r="P93" s="4">
        <f t="shared" si="118"/>
        <v>4.0476164462918796</v>
      </c>
      <c r="Q93" s="4">
        <f t="shared" si="91"/>
        <v>0</v>
      </c>
      <c r="R93" s="4">
        <f t="shared" si="119"/>
        <v>4.2009213571723656</v>
      </c>
      <c r="S93" s="360">
        <f t="shared" si="92"/>
        <v>7.059096099658764E-2</v>
      </c>
      <c r="T93" s="360">
        <f t="shared" si="93"/>
        <v>0.3</v>
      </c>
      <c r="U93" s="360">
        <f t="shared" si="94"/>
        <v>0.37269567667464654</v>
      </c>
      <c r="V93" s="4">
        <f t="shared" si="120"/>
        <v>8.7978685753455466E-2</v>
      </c>
      <c r="W93" s="360">
        <f t="shared" si="121"/>
        <v>1.5480498293810535E-5</v>
      </c>
      <c r="X93" s="360">
        <f t="shared" si="122"/>
        <v>1.5480498293810535E-5</v>
      </c>
      <c r="Y93" s="4">
        <f t="shared" si="123"/>
        <v>0.87651199624013032</v>
      </c>
      <c r="Z93" s="360">
        <f t="shared" si="124"/>
        <v>7.6827327955285817E-4</v>
      </c>
      <c r="AA93" s="541">
        <f t="shared" si="125"/>
        <v>7.6827327955285817E-4</v>
      </c>
      <c r="AB93" s="360">
        <f t="shared" si="126"/>
        <v>4.1039916722153382</v>
      </c>
      <c r="AC93" s="360">
        <f t="shared" si="95"/>
        <v>0.1010564858736771</v>
      </c>
      <c r="AD93" s="360">
        <f t="shared" si="96"/>
        <v>0.31366586408170083</v>
      </c>
      <c r="AE93" s="360">
        <f t="shared" si="97"/>
        <v>0.6042329999999998</v>
      </c>
      <c r="AF93" s="360">
        <f t="shared" si="98"/>
        <v>0</v>
      </c>
      <c r="AG93" s="360">
        <f t="shared" si="99"/>
        <v>1.0399745853541424</v>
      </c>
      <c r="AH93" s="360">
        <f t="shared" si="100"/>
        <v>0.89721380034753229</v>
      </c>
      <c r="AI93" s="360">
        <f t="shared" si="101"/>
        <v>2.0124815088351537E-3</v>
      </c>
      <c r="AJ93" s="360">
        <f t="shared" si="102"/>
        <v>0.16464000000000001</v>
      </c>
      <c r="AK93" s="360">
        <f t="shared" si="103"/>
        <v>0.16670347563348514</v>
      </c>
      <c r="AL93" s="360">
        <f t="shared" si="104"/>
        <v>0.16464000000000001</v>
      </c>
      <c r="AM93" s="360">
        <f t="shared" si="105"/>
        <v>2.1167999999999996</v>
      </c>
      <c r="AN93" s="360">
        <f t="shared" si="106"/>
        <v>7.059096099658764E-2</v>
      </c>
      <c r="AO93" s="360">
        <f t="shared" si="107"/>
        <v>7.3499999999999998E-4</v>
      </c>
      <c r="AP93" s="360">
        <f t="shared" si="108"/>
        <v>0.32999999999999996</v>
      </c>
      <c r="AQ93" s="360">
        <f t="shared" si="109"/>
        <v>1.2539999999999998</v>
      </c>
      <c r="AR93" s="360">
        <f t="shared" si="110"/>
        <v>1.0559999999999998</v>
      </c>
      <c r="AS93" s="360">
        <f t="shared" si="133"/>
        <v>0.33073499999999995</v>
      </c>
      <c r="AT93" s="360">
        <f t="shared" si="111"/>
        <v>4.2629234524367074</v>
      </c>
      <c r="AU93">
        <f t="shared" si="112"/>
        <v>84</v>
      </c>
      <c r="AV93" s="542">
        <f t="shared" si="127"/>
        <v>0.95170199121340093</v>
      </c>
      <c r="AW93" s="551">
        <f t="shared" si="113"/>
        <v>121.8531292677071</v>
      </c>
      <c r="AX93" s="551">
        <f t="shared" si="114"/>
        <v>32.879404074072433</v>
      </c>
      <c r="AY93" s="9"/>
      <c r="AZ93" s="4">
        <f t="shared" si="128"/>
        <v>95.17019912134009</v>
      </c>
      <c r="BA93" s="360">
        <f t="shared" si="115"/>
        <v>0.37269567667464654</v>
      </c>
      <c r="BB93" s="360">
        <f t="shared" si="129"/>
        <v>3.3234780609876271</v>
      </c>
      <c r="BC93" s="360">
        <f t="shared" si="130"/>
        <v>2.4370625853541421</v>
      </c>
      <c r="BD93" s="360">
        <f t="shared" si="131"/>
        <v>0.86524747563348514</v>
      </c>
      <c r="BE93" s="360">
        <f t="shared" si="132"/>
        <v>7.059096099658764E-2</v>
      </c>
      <c r="BK93" s="18"/>
      <c r="BL93" s="19"/>
    </row>
    <row r="94" spans="1:64" x14ac:dyDescent="0.2">
      <c r="G94">
        <v>85</v>
      </c>
      <c r="H94" s="548">
        <f t="shared" si="85"/>
        <v>21</v>
      </c>
      <c r="I94" s="4">
        <f t="shared" si="86"/>
        <v>1</v>
      </c>
      <c r="J94" s="360">
        <f t="shared" si="116"/>
        <v>4.25</v>
      </c>
      <c r="K94" s="360">
        <f t="shared" si="87"/>
        <v>4.25</v>
      </c>
      <c r="L94" s="4">
        <f t="shared" si="88"/>
        <v>4.4973544973544968</v>
      </c>
      <c r="M94" s="360">
        <f t="shared" si="89"/>
        <v>0.95440937524179104</v>
      </c>
      <c r="N94" s="4">
        <f t="shared" si="90"/>
        <v>0.30461565893133818</v>
      </c>
      <c r="O94" s="4">
        <f t="shared" si="117"/>
        <v>4.402307829465669</v>
      </c>
      <c r="P94" s="4">
        <f t="shared" si="118"/>
        <v>4.097692170534331</v>
      </c>
      <c r="Q94" s="4">
        <f t="shared" si="91"/>
        <v>0</v>
      </c>
      <c r="R94" s="4">
        <f t="shared" si="119"/>
        <v>4.2509096154006274</v>
      </c>
      <c r="S94" s="360">
        <f t="shared" si="92"/>
        <v>7.2280930233222032E-2</v>
      </c>
      <c r="T94" s="360">
        <f t="shared" si="93"/>
        <v>0.3</v>
      </c>
      <c r="U94" s="360">
        <f t="shared" si="94"/>
        <v>0.37444615554884797</v>
      </c>
      <c r="V94" s="4">
        <f t="shared" si="120"/>
        <v>8.7934966341691664E-2</v>
      </c>
      <c r="W94" s="360">
        <f t="shared" si="121"/>
        <v>1.5465116611028893E-5</v>
      </c>
      <c r="X94" s="360">
        <f t="shared" si="122"/>
        <v>1.5465116611028893E-5</v>
      </c>
      <c r="Y94" s="4">
        <f t="shared" si="123"/>
        <v>0.88672099442037744</v>
      </c>
      <c r="Z94" s="360">
        <f t="shared" si="124"/>
        <v>7.8627412194586302E-4</v>
      </c>
      <c r="AA94" s="541">
        <f t="shared" si="125"/>
        <v>7.8627412194586302E-4</v>
      </c>
      <c r="AB94" s="360">
        <f t="shared" si="126"/>
        <v>4.1528784434950934</v>
      </c>
      <c r="AC94" s="360">
        <f t="shared" si="95"/>
        <v>0.10347839619867738</v>
      </c>
      <c r="AD94" s="360">
        <f t="shared" si="96"/>
        <v>0.31739998151124488</v>
      </c>
      <c r="AE94" s="360">
        <f t="shared" si="97"/>
        <v>0.6042329999999998</v>
      </c>
      <c r="AF94" s="360">
        <f t="shared" si="98"/>
        <v>0</v>
      </c>
      <c r="AG94" s="360">
        <f t="shared" si="99"/>
        <v>1.0467750994033154</v>
      </c>
      <c r="AH94" s="360">
        <f t="shared" si="100"/>
        <v>0.90765257222093343</v>
      </c>
      <c r="AI94" s="360">
        <f t="shared" si="101"/>
        <v>2.0595829796481919E-3</v>
      </c>
      <c r="AJ94" s="360">
        <f t="shared" si="102"/>
        <v>0.1666</v>
      </c>
      <c r="AK94" s="360">
        <f t="shared" si="103"/>
        <v>0.16871239951199474</v>
      </c>
      <c r="AL94" s="360">
        <f t="shared" si="104"/>
        <v>0.1666</v>
      </c>
      <c r="AM94" s="360">
        <f t="shared" si="105"/>
        <v>2.1419999999999999</v>
      </c>
      <c r="AN94" s="360">
        <f t="shared" si="106"/>
        <v>7.2280930233222032E-2</v>
      </c>
      <c r="AO94" s="360">
        <f t="shared" si="107"/>
        <v>7.3499999999999998E-4</v>
      </c>
      <c r="AP94" s="360">
        <f t="shared" si="108"/>
        <v>0.32999999999999996</v>
      </c>
      <c r="AQ94" s="360">
        <f t="shared" si="109"/>
        <v>1.2539999999999998</v>
      </c>
      <c r="AR94" s="360">
        <f t="shared" si="110"/>
        <v>1.0559999999999998</v>
      </c>
      <c r="AS94" s="360">
        <f t="shared" si="133"/>
        <v>0.33073499999999995</v>
      </c>
      <c r="AT94" s="360">
        <f t="shared" si="111"/>
        <v>4.3023513239359374</v>
      </c>
      <c r="AU94">
        <f t="shared" si="112"/>
        <v>85</v>
      </c>
      <c r="AV94" s="542">
        <f t="shared" si="127"/>
        <v>0.95182264229158353</v>
      </c>
      <c r="AW94" s="551">
        <f t="shared" si="113"/>
        <v>123.02475497016579</v>
      </c>
      <c r="AX94" s="551">
        <f t="shared" si="114"/>
        <v>33.271751181455805</v>
      </c>
      <c r="AY94" s="9"/>
      <c r="AZ94" s="4">
        <f t="shared" si="128"/>
        <v>95.182264229158349</v>
      </c>
      <c r="BA94" s="360">
        <f t="shared" si="115"/>
        <v>0.37444615554884797</v>
      </c>
      <c r="BB94" s="360">
        <f t="shared" si="129"/>
        <v>3.3574874989153098</v>
      </c>
      <c r="BC94" s="360">
        <f t="shared" si="130"/>
        <v>2.4604950994033157</v>
      </c>
      <c r="BD94" s="360">
        <f t="shared" si="131"/>
        <v>0.87557239951199484</v>
      </c>
      <c r="BE94" s="360">
        <f t="shared" si="132"/>
        <v>7.2280930233222032E-2</v>
      </c>
      <c r="BK94" s="18"/>
      <c r="BL94" s="19"/>
    </row>
    <row r="95" spans="1:64" x14ac:dyDescent="0.2">
      <c r="G95">
        <v>86</v>
      </c>
      <c r="H95" s="548">
        <f t="shared" si="85"/>
        <v>21</v>
      </c>
      <c r="I95" s="4">
        <f t="shared" si="86"/>
        <v>1</v>
      </c>
      <c r="J95" s="360">
        <f t="shared" si="116"/>
        <v>4.3</v>
      </c>
      <c r="K95" s="360">
        <f t="shared" si="87"/>
        <v>4.3</v>
      </c>
      <c r="L95" s="4">
        <f t="shared" si="88"/>
        <v>4.5502645502645498</v>
      </c>
      <c r="M95" s="360">
        <f t="shared" si="89"/>
        <v>0.95443323659720547</v>
      </c>
      <c r="N95" s="4">
        <f t="shared" si="90"/>
        <v>0.30446420247450878</v>
      </c>
      <c r="O95" s="4">
        <f t="shared" si="117"/>
        <v>4.4522321012372545</v>
      </c>
      <c r="P95" s="4">
        <f t="shared" si="118"/>
        <v>4.1477678987627451</v>
      </c>
      <c r="Q95" s="4">
        <f t="shared" si="91"/>
        <v>0</v>
      </c>
      <c r="R95" s="4">
        <f t="shared" si="119"/>
        <v>4.3008981470016669</v>
      </c>
      <c r="S95" s="360">
        <f t="shared" si="92"/>
        <v>7.3990899483529493E-2</v>
      </c>
      <c r="T95" s="360">
        <f t="shared" si="93"/>
        <v>0.3</v>
      </c>
      <c r="U95" s="360">
        <f t="shared" si="94"/>
        <v>0.37621783516558127</v>
      </c>
      <c r="V95" s="4">
        <f t="shared" si="120"/>
        <v>8.7891244628631196E-2</v>
      </c>
      <c r="W95" s="360">
        <f t="shared" si="121"/>
        <v>1.5449741764739784E-5</v>
      </c>
      <c r="X95" s="360">
        <f t="shared" si="122"/>
        <v>1.5449741764739784E-5</v>
      </c>
      <c r="Y95" s="4">
        <f t="shared" si="123"/>
        <v>0.89692478667419151</v>
      </c>
      <c r="Z95" s="360">
        <f t="shared" si="124"/>
        <v>8.0447407295054394E-4</v>
      </c>
      <c r="AA95" s="541">
        <f t="shared" si="125"/>
        <v>8.0447407295054394E-4</v>
      </c>
      <c r="AB95" s="360">
        <f t="shared" si="126"/>
        <v>4.2017667020196265</v>
      </c>
      <c r="AC95" s="360">
        <f t="shared" si="95"/>
        <v>0.10592906050920535</v>
      </c>
      <c r="AD95" s="360">
        <f t="shared" si="96"/>
        <v>0.32113409894078893</v>
      </c>
      <c r="AE95" s="360">
        <f t="shared" si="97"/>
        <v>0.6042329999999998</v>
      </c>
      <c r="AF95" s="360">
        <f t="shared" si="98"/>
        <v>0</v>
      </c>
      <c r="AG95" s="360">
        <f t="shared" si="99"/>
        <v>1.0536179105296088</v>
      </c>
      <c r="AH95" s="360">
        <f t="shared" si="100"/>
        <v>0.91808575453575414</v>
      </c>
      <c r="AI95" s="360">
        <f t="shared" si="101"/>
        <v>2.1072036317037125E-3</v>
      </c>
      <c r="AJ95" s="360">
        <f t="shared" si="102"/>
        <v>0.16855999999999999</v>
      </c>
      <c r="AK95" s="360">
        <f t="shared" si="103"/>
        <v>0.17072188498966506</v>
      </c>
      <c r="AL95" s="360">
        <f t="shared" si="104"/>
        <v>0.16855999999999999</v>
      </c>
      <c r="AM95" s="360">
        <f t="shared" si="105"/>
        <v>2.1671999999999998</v>
      </c>
      <c r="AN95" s="360">
        <f t="shared" si="106"/>
        <v>7.3990899483529493E-2</v>
      </c>
      <c r="AO95" s="360">
        <f t="shared" si="107"/>
        <v>7.3499999999999998E-4</v>
      </c>
      <c r="AP95" s="360">
        <f t="shared" si="108"/>
        <v>0.32999999999999996</v>
      </c>
      <c r="AQ95" s="360">
        <f t="shared" si="109"/>
        <v>1.2539999999999998</v>
      </c>
      <c r="AR95" s="360">
        <f t="shared" si="110"/>
        <v>1.0559999999999998</v>
      </c>
      <c r="AS95" s="360">
        <f t="shared" si="133"/>
        <v>0.33073499999999995</v>
      </c>
      <c r="AT95" s="360">
        <f t="shared" si="111"/>
        <v>4.3418634539831</v>
      </c>
      <c r="AU95">
        <f t="shared" si="112"/>
        <v>86</v>
      </c>
      <c r="AV95" s="542">
        <f t="shared" si="127"/>
        <v>0.95193962922632558</v>
      </c>
      <c r="AW95" s="551">
        <f t="shared" si="113"/>
        <v>124.19849552648043</v>
      </c>
      <c r="AX95" s="551">
        <f t="shared" si="114"/>
        <v>33.664119629607271</v>
      </c>
      <c r="AY95" s="9"/>
      <c r="AZ95" s="4">
        <f t="shared" si="128"/>
        <v>95.193962922632551</v>
      </c>
      <c r="BA95" s="360">
        <f t="shared" si="115"/>
        <v>0.37621783516558127</v>
      </c>
      <c r="BB95" s="360">
        <f t="shared" si="129"/>
        <v>3.3915397955192734</v>
      </c>
      <c r="BC95" s="360">
        <f t="shared" si="130"/>
        <v>2.4839699105296087</v>
      </c>
      <c r="BD95" s="360">
        <f t="shared" si="131"/>
        <v>0.88589788498966504</v>
      </c>
      <c r="BE95" s="360">
        <f t="shared" si="132"/>
        <v>7.3990899483529493E-2</v>
      </c>
      <c r="BK95" s="18"/>
      <c r="BL95" s="19"/>
    </row>
    <row r="96" spans="1:64" x14ac:dyDescent="0.2">
      <c r="G96">
        <v>87</v>
      </c>
      <c r="H96" s="548">
        <f t="shared" si="85"/>
        <v>21</v>
      </c>
      <c r="I96" s="4">
        <f t="shared" si="86"/>
        <v>1</v>
      </c>
      <c r="J96" s="360">
        <f t="shared" si="116"/>
        <v>4.3499999999999996</v>
      </c>
      <c r="K96" s="360">
        <f t="shared" si="87"/>
        <v>4.3499999999999996</v>
      </c>
      <c r="L96" s="4">
        <f t="shared" si="88"/>
        <v>4.6031746031746028</v>
      </c>
      <c r="M96" s="360">
        <f t="shared" si="89"/>
        <v>0.95445709789581312</v>
      </c>
      <c r="N96" s="4">
        <f t="shared" si="90"/>
        <v>0.30431273804578124</v>
      </c>
      <c r="O96" s="4">
        <f t="shared" si="117"/>
        <v>4.5021563690228898</v>
      </c>
      <c r="P96" s="4">
        <f t="shared" si="118"/>
        <v>4.1978436309771094</v>
      </c>
      <c r="Q96" s="4">
        <f t="shared" si="91"/>
        <v>0</v>
      </c>
      <c r="R96" s="4">
        <f t="shared" si="119"/>
        <v>4.3508869425529859</v>
      </c>
      <c r="S96" s="360">
        <f t="shared" si="92"/>
        <v>7.5720868747512285E-2</v>
      </c>
      <c r="T96" s="360">
        <f t="shared" si="93"/>
        <v>0.3</v>
      </c>
      <c r="U96" s="360">
        <f t="shared" si="94"/>
        <v>0.37801073283440062</v>
      </c>
      <c r="V96" s="4">
        <f t="shared" si="120"/>
        <v>8.7847520614281943E-2</v>
      </c>
      <c r="W96" s="360">
        <f t="shared" si="121"/>
        <v>1.5434373756153382E-5</v>
      </c>
      <c r="X96" s="360">
        <f t="shared" si="122"/>
        <v>1.5434373756153382E-5</v>
      </c>
      <c r="Y96" s="4">
        <f t="shared" si="123"/>
        <v>0.9071233686105864</v>
      </c>
      <c r="Z96" s="360">
        <f t="shared" si="124"/>
        <v>8.2287280587941777E-4</v>
      </c>
      <c r="AA96" s="541">
        <f t="shared" si="125"/>
        <v>8.2287280587941777E-4</v>
      </c>
      <c r="AB96" s="360">
        <f t="shared" si="126"/>
        <v>4.2506564385662937</v>
      </c>
      <c r="AC96" s="360">
        <f t="shared" si="95"/>
        <v>0.10840848095235053</v>
      </c>
      <c r="AD96" s="360">
        <f t="shared" si="96"/>
        <v>0.32486821637033297</v>
      </c>
      <c r="AE96" s="360">
        <f t="shared" si="97"/>
        <v>0.6042329999999998</v>
      </c>
      <c r="AF96" s="360">
        <f t="shared" si="98"/>
        <v>0</v>
      </c>
      <c r="AG96" s="360">
        <f t="shared" si="99"/>
        <v>1.0605032056363093</v>
      </c>
      <c r="AH96" s="360">
        <f t="shared" si="100"/>
        <v>0.92851334301289601</v>
      </c>
      <c r="AI96" s="360">
        <f t="shared" si="101"/>
        <v>2.1553425703824598E-3</v>
      </c>
      <c r="AJ96" s="360">
        <f t="shared" si="102"/>
        <v>0.17051999999999998</v>
      </c>
      <c r="AK96" s="360">
        <f t="shared" si="103"/>
        <v>0.17273193163618145</v>
      </c>
      <c r="AL96" s="360">
        <f t="shared" si="104"/>
        <v>0.17051999999999998</v>
      </c>
      <c r="AM96" s="360">
        <f t="shared" si="105"/>
        <v>2.1923999999999997</v>
      </c>
      <c r="AN96" s="360">
        <f t="shared" si="106"/>
        <v>7.5720868747512285E-2</v>
      </c>
      <c r="AO96" s="360">
        <f t="shared" si="107"/>
        <v>7.3499999999999998E-4</v>
      </c>
      <c r="AP96" s="360">
        <f t="shared" si="108"/>
        <v>0.32999999999999996</v>
      </c>
      <c r="AQ96" s="360">
        <f t="shared" si="109"/>
        <v>1.2539999999999998</v>
      </c>
      <c r="AR96" s="360">
        <f t="shared" si="110"/>
        <v>1.0559999999999998</v>
      </c>
      <c r="AS96" s="360">
        <f t="shared" si="133"/>
        <v>0.33073499999999995</v>
      </c>
      <c r="AT96" s="360">
        <f t="shared" si="111"/>
        <v>4.3814600460340394</v>
      </c>
      <c r="AU96">
        <f t="shared" si="112"/>
        <v>87</v>
      </c>
      <c r="AV96" s="542">
        <f t="shared" si="127"/>
        <v>0.95205307461899991</v>
      </c>
      <c r="AW96" s="551">
        <f t="shared" si="113"/>
        <v>125.37436028181546</v>
      </c>
      <c r="AX96" s="551">
        <f t="shared" si="114"/>
        <v>34.056509402174889</v>
      </c>
      <c r="AY96" s="9"/>
      <c r="AZ96" s="4">
        <f t="shared" si="128"/>
        <v>95.205307461899991</v>
      </c>
      <c r="BA96" s="360">
        <f t="shared" si="115"/>
        <v>0.37801073283440062</v>
      </c>
      <c r="BB96" s="360">
        <f t="shared" si="129"/>
        <v>3.4256351372724905</v>
      </c>
      <c r="BC96" s="360">
        <f t="shared" si="130"/>
        <v>2.5074872056363091</v>
      </c>
      <c r="BD96" s="360">
        <f t="shared" si="131"/>
        <v>0.8962239316361813</v>
      </c>
      <c r="BE96" s="360">
        <f t="shared" si="132"/>
        <v>7.5720868747512285E-2</v>
      </c>
      <c r="BK96" s="18"/>
      <c r="BL96" s="19"/>
    </row>
    <row r="97" spans="7:64" x14ac:dyDescent="0.2">
      <c r="G97">
        <v>88</v>
      </c>
      <c r="H97" s="548">
        <f t="shared" si="85"/>
        <v>21</v>
      </c>
      <c r="I97" s="4">
        <f t="shared" si="86"/>
        <v>1</v>
      </c>
      <c r="J97" s="360">
        <f t="shared" si="116"/>
        <v>4.4000000000000004</v>
      </c>
      <c r="K97" s="360">
        <f t="shared" si="87"/>
        <v>4.4000000000000004</v>
      </c>
      <c r="L97" s="4">
        <f t="shared" si="88"/>
        <v>4.6560846560846558</v>
      </c>
      <c r="M97" s="360">
        <f t="shared" si="89"/>
        <v>0.95448095913761422</v>
      </c>
      <c r="N97" s="4">
        <f t="shared" si="90"/>
        <v>0.30416126564518625</v>
      </c>
      <c r="O97" s="4">
        <f t="shared" si="117"/>
        <v>4.5520806328225936</v>
      </c>
      <c r="P97" s="4">
        <f t="shared" si="118"/>
        <v>4.2479193671774071</v>
      </c>
      <c r="Q97" s="4">
        <f t="shared" si="91"/>
        <v>0</v>
      </c>
      <c r="R97" s="4">
        <f t="shared" si="119"/>
        <v>4.4008759930601595</v>
      </c>
      <c r="S97" s="360">
        <f t="shared" si="92"/>
        <v>7.7470838025172989E-2</v>
      </c>
      <c r="T97" s="360">
        <f t="shared" si="93"/>
        <v>0.3</v>
      </c>
      <c r="U97" s="360">
        <f t="shared" si="94"/>
        <v>0.37982486607941068</v>
      </c>
      <c r="V97" s="4">
        <f t="shared" si="120"/>
        <v>8.7803794298652788E-2</v>
      </c>
      <c r="W97" s="360">
        <f t="shared" si="121"/>
        <v>1.5419012586480265E-5</v>
      </c>
      <c r="X97" s="360">
        <f t="shared" si="122"/>
        <v>1.5419012586480265E-5</v>
      </c>
      <c r="Y97" s="4">
        <f t="shared" si="123"/>
        <v>0.9173167359273493</v>
      </c>
      <c r="Z97" s="360">
        <f t="shared" si="124"/>
        <v>8.4146999401240631E-4</v>
      </c>
      <c r="AA97" s="541">
        <f t="shared" si="125"/>
        <v>8.4146999401240631E-4</v>
      </c>
      <c r="AB97" s="360">
        <f t="shared" si="126"/>
        <v>4.299547644330211</v>
      </c>
      <c r="AC97" s="360">
        <f t="shared" si="95"/>
        <v>0.11091665967519279</v>
      </c>
      <c r="AD97" s="360">
        <f t="shared" si="96"/>
        <v>0.32860233379987702</v>
      </c>
      <c r="AE97" s="360">
        <f t="shared" si="97"/>
        <v>0.6042329999999998</v>
      </c>
      <c r="AF97" s="360">
        <f t="shared" si="98"/>
        <v>0</v>
      </c>
      <c r="AG97" s="360">
        <f t="shared" si="99"/>
        <v>1.0674311735149598</v>
      </c>
      <c r="AH97" s="360">
        <f t="shared" si="100"/>
        <v>0.93893533346433378</v>
      </c>
      <c r="AI97" s="360">
        <f t="shared" si="101"/>
        <v>2.2039989010694491E-3</v>
      </c>
      <c r="AJ97" s="360">
        <f t="shared" si="102"/>
        <v>0.17248000000000002</v>
      </c>
      <c r="AK97" s="360">
        <f t="shared" si="103"/>
        <v>0.17474253902039308</v>
      </c>
      <c r="AL97" s="360">
        <f t="shared" si="104"/>
        <v>0.17248000000000002</v>
      </c>
      <c r="AM97" s="360">
        <f t="shared" si="105"/>
        <v>2.2176</v>
      </c>
      <c r="AN97" s="360">
        <f t="shared" si="106"/>
        <v>7.7470838025172989E-2</v>
      </c>
      <c r="AO97" s="360">
        <f t="shared" si="107"/>
        <v>7.3499999999999998E-4</v>
      </c>
      <c r="AP97" s="360">
        <f t="shared" si="108"/>
        <v>0.32999999999999996</v>
      </c>
      <c r="AQ97" s="360">
        <f t="shared" si="109"/>
        <v>1.2539999999999998</v>
      </c>
      <c r="AR97" s="360">
        <f t="shared" si="110"/>
        <v>1.0559999999999998</v>
      </c>
      <c r="AS97" s="360">
        <f t="shared" si="133"/>
        <v>0.33073499999999995</v>
      </c>
      <c r="AT97" s="360">
        <f t="shared" si="111"/>
        <v>4.4211413056465352</v>
      </c>
      <c r="AU97">
        <f t="shared" si="112"/>
        <v>88</v>
      </c>
      <c r="AV97" s="542">
        <f t="shared" si="127"/>
        <v>0.95216309555164069</v>
      </c>
      <c r="AW97" s="551">
        <f t="shared" si="113"/>
        <v>126.552358675748</v>
      </c>
      <c r="AX97" s="551">
        <f t="shared" si="114"/>
        <v>34.448920482774938</v>
      </c>
      <c r="AY97" s="9"/>
      <c r="AZ97" s="4">
        <f t="shared" si="128"/>
        <v>95.216309555164074</v>
      </c>
      <c r="BA97" s="360">
        <f t="shared" si="115"/>
        <v>0.37982486607941068</v>
      </c>
      <c r="BB97" s="360">
        <f t="shared" si="129"/>
        <v>3.4597737125353527</v>
      </c>
      <c r="BC97" s="360">
        <f t="shared" si="130"/>
        <v>2.5310471735149598</v>
      </c>
      <c r="BD97" s="360">
        <f t="shared" si="131"/>
        <v>0.90655053902039306</v>
      </c>
      <c r="BE97" s="360">
        <f t="shared" si="132"/>
        <v>7.7470838025172989E-2</v>
      </c>
      <c r="BK97" s="18"/>
      <c r="BL97" s="19"/>
    </row>
    <row r="98" spans="7:64" x14ac:dyDescent="0.2">
      <c r="G98">
        <v>89</v>
      </c>
      <c r="H98" s="548">
        <f t="shared" si="85"/>
        <v>21</v>
      </c>
      <c r="I98" s="4">
        <f t="shared" si="86"/>
        <v>1</v>
      </c>
      <c r="J98" s="360">
        <f t="shared" si="116"/>
        <v>4.45</v>
      </c>
      <c r="K98" s="360">
        <f t="shared" si="87"/>
        <v>4.45</v>
      </c>
      <c r="L98" s="4">
        <f t="shared" si="88"/>
        <v>4.7089947089947088</v>
      </c>
      <c r="M98" s="360">
        <f t="shared" si="89"/>
        <v>0.95450482032260864</v>
      </c>
      <c r="N98" s="4">
        <f t="shared" si="90"/>
        <v>0.30400978527275108</v>
      </c>
      <c r="O98" s="4">
        <f t="shared" si="117"/>
        <v>4.6020048926363755</v>
      </c>
      <c r="P98" s="4">
        <f t="shared" si="118"/>
        <v>4.2979951073636249</v>
      </c>
      <c r="Q98" s="4">
        <f t="shared" si="91"/>
        <v>0</v>
      </c>
      <c r="R98" s="4">
        <f t="shared" si="119"/>
        <v>4.4508652899327865</v>
      </c>
      <c r="S98" s="360">
        <f t="shared" si="92"/>
        <v>7.9240807316513867E-2</v>
      </c>
      <c r="T98" s="360">
        <f t="shared" si="93"/>
        <v>0.3</v>
      </c>
      <c r="U98" s="360">
        <f t="shared" si="94"/>
        <v>0.38166025263969744</v>
      </c>
      <c r="V98" s="4">
        <f t="shared" si="120"/>
        <v>8.7760065681751584E-2</v>
      </c>
      <c r="W98" s="360">
        <f t="shared" si="121"/>
        <v>1.5403658256930705E-5</v>
      </c>
      <c r="X98" s="360">
        <f t="shared" si="122"/>
        <v>1.5403658256930705E-5</v>
      </c>
      <c r="Y98" s="4">
        <f t="shared" si="123"/>
        <v>0.92750488440591805</v>
      </c>
      <c r="Z98" s="360">
        <f t="shared" si="124"/>
        <v>8.6026531059683539E-4</v>
      </c>
      <c r="AA98" s="541">
        <f t="shared" si="125"/>
        <v>8.6026531059683539E-4</v>
      </c>
      <c r="AB98" s="360">
        <f t="shared" si="126"/>
        <v>4.3484403109007808</v>
      </c>
      <c r="AC98" s="360">
        <f t="shared" si="95"/>
        <v>0.11345359882480127</v>
      </c>
      <c r="AD98" s="360">
        <f t="shared" si="96"/>
        <v>0.33233645122942113</v>
      </c>
      <c r="AE98" s="360">
        <f t="shared" si="97"/>
        <v>0.6042329999999998</v>
      </c>
      <c r="AF98" s="360">
        <f t="shared" si="98"/>
        <v>0</v>
      </c>
      <c r="AG98" s="360">
        <f t="shared" si="99"/>
        <v>1.0744020048614449</v>
      </c>
      <c r="AH98" s="360">
        <f t="shared" si="100"/>
        <v>0.94935172178786642</v>
      </c>
      <c r="AI98" s="360">
        <f t="shared" si="101"/>
        <v>2.2531717291539664E-3</v>
      </c>
      <c r="AJ98" s="360">
        <f t="shared" si="102"/>
        <v>0.17444000000000001</v>
      </c>
      <c r="AK98" s="360">
        <f t="shared" si="103"/>
        <v>0.17675370671031135</v>
      </c>
      <c r="AL98" s="360">
        <f t="shared" si="104"/>
        <v>0.17444000000000001</v>
      </c>
      <c r="AM98" s="360">
        <f t="shared" si="105"/>
        <v>2.2427999999999999</v>
      </c>
      <c r="AN98" s="360">
        <f t="shared" si="106"/>
        <v>7.9240807316513867E-2</v>
      </c>
      <c r="AO98" s="360">
        <f t="shared" si="107"/>
        <v>7.3499999999999998E-4</v>
      </c>
      <c r="AP98" s="360">
        <f t="shared" si="108"/>
        <v>0.32999999999999996</v>
      </c>
      <c r="AQ98" s="360">
        <f t="shared" si="109"/>
        <v>1.2539999999999998</v>
      </c>
      <c r="AR98" s="360">
        <f t="shared" si="110"/>
        <v>1.0559999999999998</v>
      </c>
      <c r="AS98" s="360">
        <f t="shared" si="133"/>
        <v>0.33073499999999995</v>
      </c>
      <c r="AT98" s="360">
        <f t="shared" si="111"/>
        <v>4.460907440496821</v>
      </c>
      <c r="AU98">
        <f t="shared" si="112"/>
        <v>89</v>
      </c>
      <c r="AV98" s="542">
        <f t="shared" si="127"/>
        <v>0.95226980389274607</v>
      </c>
      <c r="AW98" s="551">
        <f t="shared" si="113"/>
        <v>127.73250024307225</v>
      </c>
      <c r="AX98" s="551">
        <f t="shared" si="114"/>
        <v>34.841352854991833</v>
      </c>
      <c r="AY98" s="9"/>
      <c r="AZ98" s="4">
        <f t="shared" si="128"/>
        <v>95.226980389274601</v>
      </c>
      <c r="BA98" s="360">
        <f t="shared" si="115"/>
        <v>0.38166025263969744</v>
      </c>
      <c r="BB98" s="360">
        <f t="shared" si="129"/>
        <v>3.4939557115717559</v>
      </c>
      <c r="BC98" s="360">
        <f t="shared" si="130"/>
        <v>2.5546500048614451</v>
      </c>
      <c r="BD98" s="360">
        <f t="shared" si="131"/>
        <v>0.91687770671031132</v>
      </c>
      <c r="BE98" s="360">
        <f t="shared" si="132"/>
        <v>7.9240807316513867E-2</v>
      </c>
      <c r="BK98" s="18"/>
      <c r="BL98" s="19"/>
    </row>
    <row r="99" spans="7:64" x14ac:dyDescent="0.2">
      <c r="G99">
        <v>90</v>
      </c>
      <c r="H99" s="548">
        <f t="shared" si="85"/>
        <v>21</v>
      </c>
      <c r="I99" s="4">
        <f t="shared" si="86"/>
        <v>1</v>
      </c>
      <c r="J99" s="360">
        <f t="shared" si="116"/>
        <v>4.5</v>
      </c>
      <c r="K99" s="360">
        <f t="shared" si="87"/>
        <v>4.5</v>
      </c>
      <c r="L99" s="4">
        <f t="shared" si="88"/>
        <v>4.761904761904761</v>
      </c>
      <c r="M99" s="360">
        <f t="shared" si="89"/>
        <v>0.95452868145079683</v>
      </c>
      <c r="N99" s="4">
        <f t="shared" si="90"/>
        <v>0.30385829692850314</v>
      </c>
      <c r="O99" s="4">
        <f t="shared" si="117"/>
        <v>4.6519291484642515</v>
      </c>
      <c r="P99" s="4">
        <f t="shared" si="118"/>
        <v>4.3480708515357485</v>
      </c>
      <c r="Q99" s="4">
        <f t="shared" si="91"/>
        <v>0</v>
      </c>
      <c r="R99" s="4">
        <f t="shared" si="119"/>
        <v>4.5008548249620715</v>
      </c>
      <c r="S99" s="360">
        <f t="shared" si="92"/>
        <v>8.1030776621537445E-2</v>
      </c>
      <c r="T99" s="360">
        <f t="shared" si="93"/>
        <v>0.3</v>
      </c>
      <c r="U99" s="360">
        <f t="shared" si="94"/>
        <v>0.3835169104697661</v>
      </c>
      <c r="V99" s="4">
        <f t="shared" si="120"/>
        <v>8.7716334763586271E-2</v>
      </c>
      <c r="W99" s="360">
        <f t="shared" si="121"/>
        <v>1.5388310768715065E-5</v>
      </c>
      <c r="X99" s="360">
        <f t="shared" si="122"/>
        <v>1.5388310768715065E-5</v>
      </c>
      <c r="Y99" s="4">
        <f t="shared" si="123"/>
        <v>0.93768780990659395</v>
      </c>
      <c r="Z99" s="360">
        <f t="shared" si="124"/>
        <v>8.7925842884742464E-4</v>
      </c>
      <c r="AA99" s="541">
        <f t="shared" si="125"/>
        <v>8.7925842884742464E-4</v>
      </c>
      <c r="AB99" s="360">
        <f t="shared" si="126"/>
        <v>4.3973344302398178</v>
      </c>
      <c r="AC99" s="360">
        <f t="shared" si="95"/>
        <v>0.11601930054823527</v>
      </c>
      <c r="AD99" s="360">
        <f t="shared" si="96"/>
        <v>0.33607056865896517</v>
      </c>
      <c r="AE99" s="360">
        <f t="shared" si="97"/>
        <v>0.6042329999999998</v>
      </c>
      <c r="AF99" s="360">
        <f t="shared" si="98"/>
        <v>0</v>
      </c>
      <c r="AG99" s="360">
        <f t="shared" si="99"/>
        <v>1.0814158922922998</v>
      </c>
      <c r="AH99" s="360">
        <f t="shared" si="100"/>
        <v>0.95976250396221108</v>
      </c>
      <c r="AI99" s="360">
        <f t="shared" si="101"/>
        <v>2.3028601600295334E-3</v>
      </c>
      <c r="AJ99" s="360">
        <f t="shared" si="102"/>
        <v>0.1764</v>
      </c>
      <c r="AK99" s="360">
        <f t="shared" si="103"/>
        <v>0.17876543427310937</v>
      </c>
      <c r="AL99" s="360">
        <f t="shared" si="104"/>
        <v>0.1764</v>
      </c>
      <c r="AM99" s="360">
        <f t="shared" si="105"/>
        <v>2.2679999999999998</v>
      </c>
      <c r="AN99" s="360">
        <f t="shared" si="106"/>
        <v>8.1030776621537445E-2</v>
      </c>
      <c r="AO99" s="360">
        <f t="shared" si="107"/>
        <v>7.3499999999999998E-4</v>
      </c>
      <c r="AP99" s="360">
        <f t="shared" si="108"/>
        <v>0.32999999999999996</v>
      </c>
      <c r="AQ99" s="360">
        <f t="shared" si="109"/>
        <v>1.2539999999999998</v>
      </c>
      <c r="AR99" s="360">
        <f t="shared" si="110"/>
        <v>1.0559999999999998</v>
      </c>
      <c r="AS99" s="360">
        <f t="shared" si="133"/>
        <v>0.33073499999999995</v>
      </c>
      <c r="AT99" s="360">
        <f t="shared" si="111"/>
        <v>4.5007586603963281</v>
      </c>
      <c r="AU99">
        <f t="shared" si="112"/>
        <v>90</v>
      </c>
      <c r="AV99" s="542">
        <f t="shared" si="127"/>
        <v>0.9523733065829606</v>
      </c>
      <c r="AW99" s="551">
        <f t="shared" si="113"/>
        <v>128.914794614615</v>
      </c>
      <c r="AX99" s="551">
        <f t="shared" si="114"/>
        <v>35.233806502378151</v>
      </c>
      <c r="AY99" s="9"/>
      <c r="AZ99" s="4">
        <f t="shared" si="128"/>
        <v>95.237330658296059</v>
      </c>
      <c r="BA99" s="360">
        <f t="shared" si="115"/>
        <v>0.3835169104697661</v>
      </c>
      <c r="BB99" s="360">
        <f t="shared" si="129"/>
        <v>3.5281813265654089</v>
      </c>
      <c r="BC99" s="360">
        <f t="shared" si="130"/>
        <v>2.5782958922922998</v>
      </c>
      <c r="BD99" s="360">
        <f t="shared" si="131"/>
        <v>0.92720543427310931</v>
      </c>
      <c r="BE99" s="360">
        <f t="shared" si="132"/>
        <v>8.1030776621537445E-2</v>
      </c>
      <c r="BK99" s="18"/>
      <c r="BL99" s="19"/>
    </row>
    <row r="100" spans="7:64" x14ac:dyDescent="0.2">
      <c r="G100">
        <v>91</v>
      </c>
      <c r="H100" s="548">
        <f t="shared" si="85"/>
        <v>21</v>
      </c>
      <c r="I100" s="4">
        <f t="shared" si="86"/>
        <v>1</v>
      </c>
      <c r="J100" s="360">
        <f t="shared" si="116"/>
        <v>4.55</v>
      </c>
      <c r="K100" s="360">
        <f t="shared" si="87"/>
        <v>4.55</v>
      </c>
      <c r="L100" s="4">
        <f t="shared" si="88"/>
        <v>4.814814814814814</v>
      </c>
      <c r="M100" s="360">
        <f t="shared" si="89"/>
        <v>0.95455254252217914</v>
      </c>
      <c r="N100" s="4">
        <f t="shared" si="90"/>
        <v>0.30370680061247318</v>
      </c>
      <c r="O100" s="4">
        <f t="shared" si="117"/>
        <v>4.701853400306236</v>
      </c>
      <c r="P100" s="4">
        <f t="shared" si="118"/>
        <v>4.3981465996937636</v>
      </c>
      <c r="Q100" s="4">
        <f t="shared" si="91"/>
        <v>0</v>
      </c>
      <c r="R100" s="4">
        <f t="shared" si="119"/>
        <v>4.550844590299862</v>
      </c>
      <c r="S100" s="360">
        <f t="shared" si="92"/>
        <v>8.2840745940246083E-2</v>
      </c>
      <c r="T100" s="360">
        <f t="shared" si="93"/>
        <v>0.3</v>
      </c>
      <c r="U100" s="360">
        <f t="shared" si="94"/>
        <v>0.38539485773998333</v>
      </c>
      <c r="V100" s="4">
        <f t="shared" si="120"/>
        <v>8.7672601544165701E-2</v>
      </c>
      <c r="W100" s="360">
        <f t="shared" si="121"/>
        <v>1.5372970123044093E-5</v>
      </c>
      <c r="X100" s="360">
        <f t="shared" si="122"/>
        <v>1.5372970123044093E-5</v>
      </c>
      <c r="Y100" s="4">
        <f t="shared" si="123"/>
        <v>0.94786550836408046</v>
      </c>
      <c r="Z100" s="360">
        <f t="shared" si="124"/>
        <v>8.9844902194629673E-4</v>
      </c>
      <c r="AA100" s="541">
        <f t="shared" si="125"/>
        <v>8.9844902194629673E-4</v>
      </c>
      <c r="AB100" s="360">
        <f t="shared" si="126"/>
        <v>4.4462299946610893</v>
      </c>
      <c r="AC100" s="360">
        <f t="shared" si="95"/>
        <v>0.1186137669925437</v>
      </c>
      <c r="AD100" s="360">
        <f t="shared" si="96"/>
        <v>0.33980468608850922</v>
      </c>
      <c r="AE100" s="360">
        <f t="shared" si="97"/>
        <v>0.6042329999999998</v>
      </c>
      <c r="AF100" s="360">
        <f t="shared" si="98"/>
        <v>0</v>
      </c>
      <c r="AG100" s="360">
        <f t="shared" si="99"/>
        <v>1.0884730303612398</v>
      </c>
      <c r="AH100" s="360">
        <f t="shared" si="100"/>
        <v>0.97016767604243226</v>
      </c>
      <c r="AI100" s="360">
        <f t="shared" si="101"/>
        <v>2.3530632990939348E-3</v>
      </c>
      <c r="AJ100" s="360">
        <f t="shared" si="102"/>
        <v>0.17835999999999999</v>
      </c>
      <c r="AK100" s="360">
        <f t="shared" si="103"/>
        <v>0.18077772127512035</v>
      </c>
      <c r="AL100" s="360">
        <f t="shared" si="104"/>
        <v>0.17835999999999999</v>
      </c>
      <c r="AM100" s="360">
        <f t="shared" si="105"/>
        <v>2.2931999999999997</v>
      </c>
      <c r="AN100" s="360">
        <f t="shared" si="106"/>
        <v>8.2840745940246083E-2</v>
      </c>
      <c r="AO100" s="360">
        <f t="shared" si="107"/>
        <v>7.3499999999999998E-4</v>
      </c>
      <c r="AP100" s="360">
        <f t="shared" si="108"/>
        <v>0.32999999999999996</v>
      </c>
      <c r="AQ100" s="360">
        <f t="shared" si="109"/>
        <v>1.2539999999999998</v>
      </c>
      <c r="AR100" s="360">
        <f t="shared" si="110"/>
        <v>1.0559999999999998</v>
      </c>
      <c r="AS100" s="360">
        <f t="shared" si="133"/>
        <v>0.33073499999999995</v>
      </c>
      <c r="AT100" s="360">
        <f t="shared" si="111"/>
        <v>4.5406951773086588</v>
      </c>
      <c r="AU100">
        <f t="shared" si="112"/>
        <v>91</v>
      </c>
      <c r="AV100" s="542">
        <f t="shared" si="127"/>
        <v>0.95247370590216196</v>
      </c>
      <c r="AW100" s="551">
        <f t="shared" si="113"/>
        <v>130.09925151806198</v>
      </c>
      <c r="AX100" s="551">
        <f t="shared" si="114"/>
        <v>35.626281408454574</v>
      </c>
      <c r="AY100" s="9"/>
      <c r="AZ100" s="4">
        <f t="shared" si="128"/>
        <v>95.247370590216192</v>
      </c>
      <c r="BA100" s="360">
        <f t="shared" si="115"/>
        <v>0.38539485773998333</v>
      </c>
      <c r="BB100" s="360">
        <f t="shared" si="129"/>
        <v>3.5624507516363595</v>
      </c>
      <c r="BC100" s="360">
        <f t="shared" si="130"/>
        <v>2.6019850303612397</v>
      </c>
      <c r="BD100" s="360">
        <f t="shared" si="131"/>
        <v>0.93753372127512036</v>
      </c>
      <c r="BE100" s="360">
        <f t="shared" si="132"/>
        <v>8.2840745940246083E-2</v>
      </c>
      <c r="BK100" s="18"/>
      <c r="BL100" s="19"/>
    </row>
    <row r="101" spans="7:64" x14ac:dyDescent="0.2">
      <c r="G101">
        <v>92</v>
      </c>
      <c r="H101" s="548">
        <f t="shared" si="85"/>
        <v>21</v>
      </c>
      <c r="I101" s="4">
        <f t="shared" si="86"/>
        <v>1</v>
      </c>
      <c r="J101" s="360">
        <f t="shared" si="116"/>
        <v>4.5999999999999996</v>
      </c>
      <c r="K101" s="360">
        <f t="shared" si="87"/>
        <v>4.5999999999999996</v>
      </c>
      <c r="L101" s="4">
        <f t="shared" si="88"/>
        <v>4.867724867724867</v>
      </c>
      <c r="M101" s="360">
        <f t="shared" si="89"/>
        <v>0.95457640353675544</v>
      </c>
      <c r="N101" s="4">
        <f t="shared" si="90"/>
        <v>0.30355529632468842</v>
      </c>
      <c r="O101" s="4">
        <f t="shared" si="117"/>
        <v>4.7517776481623439</v>
      </c>
      <c r="P101" s="4">
        <f t="shared" si="118"/>
        <v>4.4482223518376554</v>
      </c>
      <c r="Q101" s="4">
        <f t="shared" si="91"/>
        <v>0</v>
      </c>
      <c r="R101" s="4">
        <f t="shared" si="119"/>
        <v>4.6008345784390636</v>
      </c>
      <c r="S101" s="360">
        <f t="shared" si="92"/>
        <v>8.4670715272642222E-2</v>
      </c>
      <c r="T101" s="360">
        <f t="shared" si="93"/>
        <v>0.3</v>
      </c>
      <c r="U101" s="360">
        <f t="shared" si="94"/>
        <v>0.38729411283702569</v>
      </c>
      <c r="V101" s="4">
        <f t="shared" si="120"/>
        <v>8.7628866023497745E-2</v>
      </c>
      <c r="W101" s="360">
        <f t="shared" si="121"/>
        <v>1.5357636321128234E-5</v>
      </c>
      <c r="X101" s="360">
        <f t="shared" si="122"/>
        <v>1.5357636321128234E-5</v>
      </c>
      <c r="Y101" s="4">
        <f t="shared" si="123"/>
        <v>0.95803797578331173</v>
      </c>
      <c r="Z101" s="360">
        <f t="shared" si="124"/>
        <v>9.1783676304298546E-4</v>
      </c>
      <c r="AA101" s="541">
        <f t="shared" si="125"/>
        <v>9.1783676304298546E-4</v>
      </c>
      <c r="AB101" s="360">
        <f t="shared" si="126"/>
        <v>4.495126996811198</v>
      </c>
      <c r="AC101" s="360">
        <f t="shared" si="95"/>
        <v>0.12123700030476517</v>
      </c>
      <c r="AD101" s="360">
        <f t="shared" si="96"/>
        <v>0.34353880351805327</v>
      </c>
      <c r="AE101" s="360">
        <f t="shared" si="97"/>
        <v>0.6042329999999998</v>
      </c>
      <c r="AF101" s="360">
        <f t="shared" si="98"/>
        <v>0</v>
      </c>
      <c r="AG101" s="360">
        <f t="shared" si="99"/>
        <v>1.0955736155759122</v>
      </c>
      <c r="AH101" s="360">
        <f t="shared" si="100"/>
        <v>0.98056723415566704</v>
      </c>
      <c r="AI101" s="360">
        <f t="shared" si="101"/>
        <v>2.4037802517492368E-3</v>
      </c>
      <c r="AJ101" s="360">
        <f t="shared" si="102"/>
        <v>0.18031999999999998</v>
      </c>
      <c r="AK101" s="360">
        <f t="shared" si="103"/>
        <v>0.1827905672818366</v>
      </c>
      <c r="AL101" s="360">
        <f t="shared" si="104"/>
        <v>0.18031999999999998</v>
      </c>
      <c r="AM101" s="360">
        <f t="shared" si="105"/>
        <v>2.3183999999999996</v>
      </c>
      <c r="AN101" s="360">
        <f t="shared" si="106"/>
        <v>8.4670715272642222E-2</v>
      </c>
      <c r="AO101" s="360">
        <f t="shared" si="107"/>
        <v>7.3499999999999998E-4</v>
      </c>
      <c r="AP101" s="360">
        <f t="shared" si="108"/>
        <v>0.32999999999999996</v>
      </c>
      <c r="AQ101" s="360">
        <f t="shared" si="109"/>
        <v>1.2539999999999998</v>
      </c>
      <c r="AR101" s="360">
        <f t="shared" si="110"/>
        <v>1.0559999999999998</v>
      </c>
      <c r="AS101" s="360">
        <f t="shared" si="133"/>
        <v>0.33073499999999995</v>
      </c>
      <c r="AT101" s="360">
        <f t="shared" si="111"/>
        <v>4.5807172053667804</v>
      </c>
      <c r="AU101">
        <f t="shared" si="112"/>
        <v>92</v>
      </c>
      <c r="AV101" s="542">
        <f t="shared" si="127"/>
        <v>0.95257109971935228</v>
      </c>
      <c r="AW101" s="551">
        <f t="shared" si="113"/>
        <v>131.28588077879559</v>
      </c>
      <c r="AX101" s="551">
        <f t="shared" si="114"/>
        <v>36.018777556709786</v>
      </c>
      <c r="AY101" s="9"/>
      <c r="AZ101" s="4">
        <f t="shared" si="128"/>
        <v>95.257109971935222</v>
      </c>
      <c r="BA101" s="360">
        <f t="shared" si="115"/>
        <v>0.38729411283702569</v>
      </c>
      <c r="BB101" s="360">
        <f t="shared" si="129"/>
        <v>3.5967641828577483</v>
      </c>
      <c r="BC101" s="360">
        <f t="shared" si="130"/>
        <v>2.6257176155759119</v>
      </c>
      <c r="BD101" s="360">
        <f t="shared" si="131"/>
        <v>0.94786256728183649</v>
      </c>
      <c r="BE101" s="360">
        <f t="shared" si="132"/>
        <v>8.4670715272642222E-2</v>
      </c>
      <c r="BK101" s="18"/>
      <c r="BL101" s="19"/>
    </row>
    <row r="102" spans="7:64" x14ac:dyDescent="0.2">
      <c r="G102">
        <v>93</v>
      </c>
      <c r="H102" s="548">
        <f t="shared" si="85"/>
        <v>21</v>
      </c>
      <c r="I102" s="4">
        <f t="shared" si="86"/>
        <v>1</v>
      </c>
      <c r="J102" s="360">
        <f t="shared" si="116"/>
        <v>4.6500000000000004</v>
      </c>
      <c r="K102" s="360">
        <f t="shared" si="87"/>
        <v>4.6500000000000004</v>
      </c>
      <c r="L102" s="4">
        <f t="shared" si="88"/>
        <v>4.92063492063492</v>
      </c>
      <c r="M102" s="360">
        <f t="shared" si="89"/>
        <v>0.95460026449452628</v>
      </c>
      <c r="N102" s="4">
        <f t="shared" si="90"/>
        <v>0.30340378406517637</v>
      </c>
      <c r="O102" s="4">
        <f t="shared" si="117"/>
        <v>4.8017018920325887</v>
      </c>
      <c r="P102" s="4">
        <f t="shared" si="118"/>
        <v>4.498298107967412</v>
      </c>
      <c r="Q102" s="4">
        <f t="shared" si="91"/>
        <v>0</v>
      </c>
      <c r="R102" s="4">
        <f t="shared" si="119"/>
        <v>4.6508247821953139</v>
      </c>
      <c r="S102" s="360">
        <f t="shared" si="92"/>
        <v>8.6520684618728361E-2</v>
      </c>
      <c r="T102" s="360">
        <f t="shared" si="93"/>
        <v>0.3</v>
      </c>
      <c r="U102" s="360">
        <f t="shared" si="94"/>
        <v>0.38921469436433404</v>
      </c>
      <c r="V102" s="4">
        <f t="shared" si="120"/>
        <v>8.758512820159034E-2</v>
      </c>
      <c r="W102" s="360">
        <f t="shared" si="121"/>
        <v>1.5342309364178033E-5</v>
      </c>
      <c r="X102" s="360">
        <f t="shared" si="122"/>
        <v>1.5342309364178033E-5</v>
      </c>
      <c r="Y102" s="4">
        <f t="shared" si="123"/>
        <v>0.96820520823553424</v>
      </c>
      <c r="Z102" s="360">
        <f t="shared" si="124"/>
        <v>9.3742132525441424E-4</v>
      </c>
      <c r="AA102" s="541">
        <f t="shared" si="125"/>
        <v>9.3742132525441424E-4</v>
      </c>
      <c r="AB102" s="360">
        <f t="shared" si="126"/>
        <v>4.5440254296517084</v>
      </c>
      <c r="AC102" s="360">
        <f t="shared" si="95"/>
        <v>0.12388900263192835</v>
      </c>
      <c r="AD102" s="360">
        <f t="shared" si="96"/>
        <v>0.34727292094759732</v>
      </c>
      <c r="AE102" s="360">
        <f t="shared" si="97"/>
        <v>0.6042329999999998</v>
      </c>
      <c r="AF102" s="360">
        <f t="shared" si="98"/>
        <v>0</v>
      </c>
      <c r="AG102" s="360">
        <f t="shared" si="99"/>
        <v>1.102717846414879</v>
      </c>
      <c r="AH102" s="360">
        <f t="shared" si="100"/>
        <v>0.99096117449711107</v>
      </c>
      <c r="AI102" s="360">
        <f t="shared" si="101"/>
        <v>2.4550101234017347E-3</v>
      </c>
      <c r="AJ102" s="360">
        <f t="shared" si="102"/>
        <v>0.18228</v>
      </c>
      <c r="AK102" s="360">
        <f t="shared" si="103"/>
        <v>0.18480397185790867</v>
      </c>
      <c r="AL102" s="360">
        <f t="shared" si="104"/>
        <v>0.18228</v>
      </c>
      <c r="AM102" s="360">
        <f t="shared" si="105"/>
        <v>2.3435999999999999</v>
      </c>
      <c r="AN102" s="360">
        <f t="shared" si="106"/>
        <v>8.6520684618728361E-2</v>
      </c>
      <c r="AO102" s="360">
        <f t="shared" si="107"/>
        <v>7.3499999999999998E-4</v>
      </c>
      <c r="AP102" s="360">
        <f t="shared" si="108"/>
        <v>0.32999999999999996</v>
      </c>
      <c r="AQ102" s="360">
        <f t="shared" si="109"/>
        <v>1.2539999999999998</v>
      </c>
      <c r="AR102" s="360">
        <f t="shared" si="110"/>
        <v>1.0559999999999998</v>
      </c>
      <c r="AS102" s="360">
        <f t="shared" si="133"/>
        <v>0.33073499999999995</v>
      </c>
      <c r="AT102" s="360">
        <f t="shared" si="111"/>
        <v>4.6208249608904683</v>
      </c>
      <c r="AU102">
        <f t="shared" si="112"/>
        <v>93</v>
      </c>
      <c r="AV102" s="542">
        <f t="shared" si="127"/>
        <v>0.95266558172662752</v>
      </c>
      <c r="AW102" s="551">
        <f t="shared" si="113"/>
        <v>132.47469232074397</v>
      </c>
      <c r="AX102" s="551">
        <f t="shared" si="114"/>
        <v>36.411294930600526</v>
      </c>
      <c r="AY102" s="9"/>
      <c r="AZ102" s="4">
        <f t="shared" si="128"/>
        <v>95.266558172662755</v>
      </c>
      <c r="BA102" s="360">
        <f t="shared" si="115"/>
        <v>0.38921469436433404</v>
      </c>
      <c r="BB102" s="360">
        <f t="shared" si="129"/>
        <v>3.6311218182727876</v>
      </c>
      <c r="BC102" s="360">
        <f t="shared" si="130"/>
        <v>2.6494938464148792</v>
      </c>
      <c r="BD102" s="360">
        <f t="shared" si="131"/>
        <v>0.95819197185790861</v>
      </c>
      <c r="BE102" s="360">
        <f t="shared" si="132"/>
        <v>8.6520684618728361E-2</v>
      </c>
      <c r="BK102" s="18"/>
      <c r="BL102" s="19"/>
    </row>
    <row r="103" spans="7:64" x14ac:dyDescent="0.2">
      <c r="G103">
        <v>94</v>
      </c>
      <c r="H103" s="548">
        <f t="shared" si="85"/>
        <v>21</v>
      </c>
      <c r="I103" s="4">
        <f t="shared" si="86"/>
        <v>1</v>
      </c>
      <c r="J103" s="360">
        <f t="shared" si="116"/>
        <v>4.7</v>
      </c>
      <c r="K103" s="360">
        <f t="shared" si="87"/>
        <v>4.7</v>
      </c>
      <c r="L103" s="4">
        <f t="shared" si="88"/>
        <v>4.973544973544973</v>
      </c>
      <c r="M103" s="360">
        <f t="shared" si="89"/>
        <v>0.95462412539549146</v>
      </c>
      <c r="N103" s="4">
        <f t="shared" si="90"/>
        <v>0.30325226383396758</v>
      </c>
      <c r="O103" s="4">
        <f t="shared" si="117"/>
        <v>4.8516261319169836</v>
      </c>
      <c r="P103" s="4">
        <f t="shared" si="118"/>
        <v>4.5483738680830168</v>
      </c>
      <c r="Q103" s="4">
        <f t="shared" si="91"/>
        <v>0</v>
      </c>
      <c r="R103" s="4">
        <f t="shared" si="119"/>
        <v>4.7008151946898211</v>
      </c>
      <c r="S103" s="360">
        <f t="shared" si="92"/>
        <v>8.8390653978506803E-2</v>
      </c>
      <c r="T103" s="360">
        <f t="shared" si="93"/>
        <v>0.3</v>
      </c>
      <c r="U103" s="360">
        <f t="shared" si="94"/>
        <v>0.39115662114257199</v>
      </c>
      <c r="V103" s="4">
        <f t="shared" si="120"/>
        <v>8.7541388078452298E-2</v>
      </c>
      <c r="W103" s="360">
        <f t="shared" si="121"/>
        <v>1.5326989253404381E-5</v>
      </c>
      <c r="X103" s="360">
        <f t="shared" si="122"/>
        <v>1.5326989253404381E-5</v>
      </c>
      <c r="Y103" s="4">
        <f t="shared" si="123"/>
        <v>0.97836720185466375</v>
      </c>
      <c r="Z103" s="360">
        <f t="shared" si="124"/>
        <v>9.5720238166492437E-4</v>
      </c>
      <c r="AA103" s="541">
        <f t="shared" si="125"/>
        <v>9.5720238166492437E-4</v>
      </c>
      <c r="AB103" s="360">
        <f t="shared" si="126"/>
        <v>4.5929252864423882</v>
      </c>
      <c r="AC103" s="360">
        <f t="shared" si="95"/>
        <v>0.12656977612105136</v>
      </c>
      <c r="AD103" s="360">
        <f t="shared" si="96"/>
        <v>0.35100703837714137</v>
      </c>
      <c r="AE103" s="360">
        <f t="shared" si="97"/>
        <v>0.6042329999999998</v>
      </c>
      <c r="AF103" s="360">
        <f t="shared" si="98"/>
        <v>0</v>
      </c>
      <c r="AG103" s="360">
        <f t="shared" si="99"/>
        <v>1.1099059233448292</v>
      </c>
      <c r="AH103" s="360">
        <f t="shared" si="100"/>
        <v>1.0013494933262848</v>
      </c>
      <c r="AI103" s="360">
        <f t="shared" si="101"/>
        <v>2.506752019462018E-3</v>
      </c>
      <c r="AJ103" s="360">
        <f t="shared" si="102"/>
        <v>0.18424000000000001</v>
      </c>
      <c r="AK103" s="360">
        <f t="shared" si="103"/>
        <v>0.18681793456714371</v>
      </c>
      <c r="AL103" s="360">
        <f t="shared" si="104"/>
        <v>0.18424000000000001</v>
      </c>
      <c r="AM103" s="360">
        <f t="shared" si="105"/>
        <v>2.3687999999999998</v>
      </c>
      <c r="AN103" s="360">
        <f t="shared" si="106"/>
        <v>8.8390653978506803E-2</v>
      </c>
      <c r="AO103" s="360">
        <f t="shared" si="107"/>
        <v>7.3499999999999998E-4</v>
      </c>
      <c r="AP103" s="360">
        <f t="shared" si="108"/>
        <v>0.32999999999999996</v>
      </c>
      <c r="AQ103" s="360">
        <f t="shared" si="109"/>
        <v>1.2539999999999998</v>
      </c>
      <c r="AR103" s="360">
        <f t="shared" si="110"/>
        <v>1.0559999999999998</v>
      </c>
      <c r="AS103" s="360">
        <f t="shared" si="133"/>
        <v>0.33073499999999995</v>
      </c>
      <c r="AT103" s="360">
        <f t="shared" si="111"/>
        <v>4.6610186624039693</v>
      </c>
      <c r="AU103">
        <f t="shared" si="112"/>
        <v>94</v>
      </c>
      <c r="AV103" s="542">
        <f t="shared" si="127"/>
        <v>0.95275724165840059</v>
      </c>
      <c r="AW103" s="551">
        <f t="shared" si="113"/>
        <v>133.66569616724146</v>
      </c>
      <c r="AX103" s="551">
        <f t="shared" si="114"/>
        <v>36.80383351355146</v>
      </c>
      <c r="AY103" s="9"/>
      <c r="AZ103" s="4">
        <f t="shared" si="128"/>
        <v>95.27572416584006</v>
      </c>
      <c r="BA103" s="360">
        <f t="shared" si="115"/>
        <v>0.39115662114257199</v>
      </c>
      <c r="BB103" s="360">
        <f t="shared" si="129"/>
        <v>3.6655238579119729</v>
      </c>
      <c r="BC103" s="360">
        <f t="shared" si="130"/>
        <v>2.6733139233448293</v>
      </c>
      <c r="BD103" s="360">
        <f t="shared" si="131"/>
        <v>0.96852193456714364</v>
      </c>
      <c r="BE103" s="360">
        <f t="shared" si="132"/>
        <v>8.8390653978506803E-2</v>
      </c>
      <c r="BK103" s="18"/>
      <c r="BL103" s="19"/>
    </row>
    <row r="104" spans="7:64" x14ac:dyDescent="0.2">
      <c r="G104">
        <v>95</v>
      </c>
      <c r="H104" s="548">
        <f t="shared" si="85"/>
        <v>21</v>
      </c>
      <c r="I104" s="4">
        <f t="shared" si="86"/>
        <v>1</v>
      </c>
      <c r="J104" s="360">
        <f t="shared" si="116"/>
        <v>4.75</v>
      </c>
      <c r="K104" s="360">
        <f t="shared" si="87"/>
        <v>4.75</v>
      </c>
      <c r="L104" s="4">
        <f t="shared" si="88"/>
        <v>5.0264550264550261</v>
      </c>
      <c r="M104" s="360">
        <f t="shared" si="89"/>
        <v>0.95464798623965141</v>
      </c>
      <c r="N104" s="4">
        <f t="shared" si="90"/>
        <v>0.30310073563108947</v>
      </c>
      <c r="O104" s="4">
        <f t="shared" si="117"/>
        <v>4.9015503678155445</v>
      </c>
      <c r="P104" s="4">
        <f t="shared" si="118"/>
        <v>4.5984496321844555</v>
      </c>
      <c r="Q104" s="4">
        <f t="shared" si="91"/>
        <v>0</v>
      </c>
      <c r="R104" s="4">
        <f t="shared" si="119"/>
        <v>4.7508058093332979</v>
      </c>
      <c r="S104" s="360">
        <f t="shared" si="92"/>
        <v>9.0280623351980047E-2</v>
      </c>
      <c r="T104" s="360">
        <f t="shared" si="93"/>
        <v>0.3</v>
      </c>
      <c r="U104" s="360">
        <f t="shared" si="94"/>
        <v>0.39311991221009229</v>
      </c>
      <c r="V104" s="4">
        <f t="shared" si="120"/>
        <v>8.7497645654091558E-2</v>
      </c>
      <c r="W104" s="360">
        <f t="shared" si="121"/>
        <v>1.5311675990017936E-5</v>
      </c>
      <c r="X104" s="360">
        <f t="shared" si="122"/>
        <v>1.5311675990017936E-5</v>
      </c>
      <c r="Y104" s="4">
        <f t="shared" si="123"/>
        <v>0.9885239528338442</v>
      </c>
      <c r="Z104" s="360">
        <f t="shared" si="124"/>
        <v>9.7717960532624822E-4</v>
      </c>
      <c r="AA104" s="541">
        <f t="shared" si="125"/>
        <v>9.7717960532624822E-4</v>
      </c>
      <c r="AB104" s="360">
        <f t="shared" si="126"/>
        <v>4.6418265607255353</v>
      </c>
      <c r="AC104" s="360">
        <f t="shared" si="95"/>
        <v>0.12927932291914232</v>
      </c>
      <c r="AD104" s="360">
        <f t="shared" si="96"/>
        <v>0.35474115580668547</v>
      </c>
      <c r="AE104" s="360">
        <f t="shared" si="97"/>
        <v>0.6042329999999998</v>
      </c>
      <c r="AF104" s="360">
        <f t="shared" si="98"/>
        <v>0</v>
      </c>
      <c r="AG104" s="360">
        <f t="shared" si="99"/>
        <v>1.117138048838026</v>
      </c>
      <c r="AH104" s="360">
        <f t="shared" si="100"/>
        <v>1.0117321869635076</v>
      </c>
      <c r="AI104" s="360">
        <f t="shared" si="101"/>
        <v>2.559005045344905E-3</v>
      </c>
      <c r="AJ104" s="360">
        <f t="shared" si="102"/>
        <v>0.1862</v>
      </c>
      <c r="AK104" s="360">
        <f t="shared" si="103"/>
        <v>0.18883245497250484</v>
      </c>
      <c r="AL104" s="360">
        <f t="shared" si="104"/>
        <v>0.1862</v>
      </c>
      <c r="AM104" s="360">
        <f t="shared" si="105"/>
        <v>2.3939999999999997</v>
      </c>
      <c r="AN104" s="360">
        <f t="shared" si="106"/>
        <v>9.0280623351980047E-2</v>
      </c>
      <c r="AO104" s="360">
        <f t="shared" si="107"/>
        <v>7.3499999999999998E-4</v>
      </c>
      <c r="AP104" s="360">
        <f t="shared" si="108"/>
        <v>0.32999999999999996</v>
      </c>
      <c r="AQ104" s="360">
        <f t="shared" si="109"/>
        <v>1.2539999999999998</v>
      </c>
      <c r="AR104" s="360">
        <f t="shared" si="110"/>
        <v>1.0559999999999998</v>
      </c>
      <c r="AS104" s="360">
        <f t="shared" si="133"/>
        <v>0.33073499999999995</v>
      </c>
      <c r="AT104" s="360">
        <f t="shared" si="111"/>
        <v>4.7012985306539186</v>
      </c>
      <c r="AU104">
        <f t="shared" si="112"/>
        <v>95</v>
      </c>
      <c r="AV104" s="542">
        <f t="shared" si="127"/>
        <v>0.95284616549694723</v>
      </c>
      <c r="AW104" s="551">
        <f t="shared" si="113"/>
        <v>134.85890244190131</v>
      </c>
      <c r="AX104" s="551">
        <f t="shared" si="114"/>
        <v>37.196393288955186</v>
      </c>
      <c r="AY104" s="9"/>
      <c r="AZ104" s="4">
        <f t="shared" si="128"/>
        <v>95.284616549694718</v>
      </c>
      <c r="BA104" s="360">
        <f t="shared" si="115"/>
        <v>0.39311991221009229</v>
      </c>
      <c r="BB104" s="360">
        <f t="shared" si="129"/>
        <v>3.6999705038105306</v>
      </c>
      <c r="BC104" s="360">
        <f t="shared" si="130"/>
        <v>2.6971780488380261</v>
      </c>
      <c r="BD104" s="360">
        <f t="shared" si="131"/>
        <v>0.97885245497250484</v>
      </c>
      <c r="BE104" s="360">
        <f t="shared" si="132"/>
        <v>9.0280623351980047E-2</v>
      </c>
      <c r="BK104" s="18"/>
      <c r="BL104" s="19"/>
    </row>
    <row r="105" spans="7:64" x14ac:dyDescent="0.2">
      <c r="G105">
        <v>96</v>
      </c>
      <c r="H105" s="548">
        <f t="shared" si="85"/>
        <v>21</v>
      </c>
      <c r="I105" s="4">
        <f t="shared" si="86"/>
        <v>1</v>
      </c>
      <c r="J105" s="360">
        <f t="shared" si="116"/>
        <v>4.8</v>
      </c>
      <c r="K105" s="360">
        <f t="shared" si="87"/>
        <v>4.8</v>
      </c>
      <c r="L105" s="4">
        <f t="shared" ref="L105:L109" si="134">Vout*K105/(Vin*Efficiency)</f>
        <v>5.0793650793650791</v>
      </c>
      <c r="M105" s="360">
        <f t="shared" si="89"/>
        <v>0.95467184702700636</v>
      </c>
      <c r="N105" s="4">
        <f t="shared" ref="N105:N109" si="135">(Vin-(Rdson1+Rdcr)*K105-Vout)*M105/(Fsw*Lf)</f>
        <v>0.30294919945657056</v>
      </c>
      <c r="O105" s="4">
        <f t="shared" si="117"/>
        <v>4.951474599728285</v>
      </c>
      <c r="P105" s="4">
        <f t="shared" si="118"/>
        <v>4.6485254002717147</v>
      </c>
      <c r="Q105" s="4">
        <f t="shared" ref="Q105:Q109" si="136">IF(MIN(Vin, -P105/(Coss_Q1+Coss_Q2)*0.00000002)&lt;0, 0, MIN(Vin, -P105/(Coss_Q1+Coss_Q2)*0.00000002))</f>
        <v>0</v>
      </c>
      <c r="R105" s="4">
        <f t="shared" si="119"/>
        <v>4.8007966198108845</v>
      </c>
      <c r="S105" s="360">
        <f t="shared" ref="S105:S109" si="137">R105^2*Rdcr</f>
        <v>9.2190592739150465E-2</v>
      </c>
      <c r="T105" s="360">
        <f t="shared" si="93"/>
        <v>0.3</v>
      </c>
      <c r="U105" s="360">
        <f t="shared" ref="U105:U109" si="138">(T105+S105*(1+Ltc*(Ta-25)))/(1-S105*Ltc*ThetaCa)</f>
        <v>0.39510458682340704</v>
      </c>
      <c r="V105" s="4">
        <f t="shared" si="120"/>
        <v>8.745390092851632E-2</v>
      </c>
      <c r="W105" s="360">
        <f t="shared" si="121"/>
        <v>1.5296369575229497E-5</v>
      </c>
      <c r="X105" s="360">
        <f t="shared" si="122"/>
        <v>1.5296369575229497E-5</v>
      </c>
      <c r="Y105" s="4">
        <f t="shared" si="123"/>
        <v>0.99867545742224284</v>
      </c>
      <c r="Z105" s="360">
        <f t="shared" si="124"/>
        <v>9.9735266925752609E-4</v>
      </c>
      <c r="AA105" s="541">
        <f t="shared" si="125"/>
        <v>9.9735266925752609E-4</v>
      </c>
      <c r="AB105" s="360">
        <f t="shared" si="126"/>
        <v>4.6907292463112622</v>
      </c>
      <c r="AC105" s="360">
        <f t="shared" ref="AC105:AC109" si="139">Rdson1*AB105^2</f>
        <v>0.13201764517319894</v>
      </c>
      <c r="AD105" s="360">
        <f t="shared" si="96"/>
        <v>0.35847527323622952</v>
      </c>
      <c r="AE105" s="360">
        <f t="shared" si="97"/>
        <v>0.6042329999999998</v>
      </c>
      <c r="AF105" s="360">
        <f t="shared" si="98"/>
        <v>0</v>
      </c>
      <c r="AG105" s="360">
        <f t="shared" ref="AG105:AG109" si="140">(AF105+AE105+AD105+AC105*(1+RdsonTopTc*Ta-RdsonTopTc*25))/(1-AC105*RdsonTopTc*ThetaJA_Q1)</f>
        <v>1.1244144273899876</v>
      </c>
      <c r="AH105" s="360">
        <f t="shared" si="100"/>
        <v>1.0221092517866142</v>
      </c>
      <c r="AI105" s="360">
        <f t="shared" ref="AI105:AI109" si="141">Rdson2*AH105^2</f>
        <v>2.6117683064694809E-3</v>
      </c>
      <c r="AJ105" s="360">
        <f t="shared" si="102"/>
        <v>0.18815999999999999</v>
      </c>
      <c r="AK105" s="360">
        <f t="shared" ref="AK105:AK109" si="142">(AJ105+AI105*(1+RdsonBotTc*Ta-RdsonBotTc*25))/(1-AI105*RdsonBotTc*ThetaJA_Q2)</f>
        <v>0.19084753263610971</v>
      </c>
      <c r="AL105" s="360">
        <f t="shared" si="104"/>
        <v>0.18815999999999999</v>
      </c>
      <c r="AM105" s="360">
        <f t="shared" si="105"/>
        <v>2.4192</v>
      </c>
      <c r="AN105" s="360">
        <f t="shared" si="106"/>
        <v>9.2190592739150465E-2</v>
      </c>
      <c r="AO105" s="360">
        <f t="shared" si="107"/>
        <v>7.3499999999999998E-4</v>
      </c>
      <c r="AP105" s="360">
        <f t="shared" si="108"/>
        <v>0.32999999999999996</v>
      </c>
      <c r="AQ105" s="360">
        <f t="shared" si="109"/>
        <v>1.2539999999999998</v>
      </c>
      <c r="AR105" s="360">
        <f t="shared" si="110"/>
        <v>1.0559999999999998</v>
      </c>
      <c r="AS105" s="360">
        <f t="shared" si="133"/>
        <v>0.33073499999999995</v>
      </c>
      <c r="AT105" s="360">
        <f t="shared" ref="AT105:AT109" si="143" xml:space="preserve"> SUM(U105,X105,AA105,AG105,AK105,AL105,AM105,AS105,AN105)</f>
        <v>4.7416647886274879</v>
      </c>
      <c r="AU105">
        <f t="shared" si="112"/>
        <v>96</v>
      </c>
      <c r="AV105" s="542">
        <f t="shared" si="127"/>
        <v>0.95293243566526042</v>
      </c>
      <c r="AW105" s="551">
        <f t="shared" si="113"/>
        <v>136.05432136949941</v>
      </c>
      <c r="AX105" s="551">
        <f t="shared" si="114"/>
        <v>37.58897424017217</v>
      </c>
      <c r="AY105" s="9"/>
      <c r="AZ105" s="4">
        <f t="shared" si="128"/>
        <v>95.293243566526044</v>
      </c>
      <c r="BA105" s="360">
        <f t="shared" si="115"/>
        <v>0.39510458682340704</v>
      </c>
      <c r="BB105" s="360">
        <f t="shared" si="129"/>
        <v>3.7344619600260973</v>
      </c>
      <c r="BC105" s="360">
        <f t="shared" si="130"/>
        <v>2.721086427389988</v>
      </c>
      <c r="BD105" s="360">
        <f t="shared" si="131"/>
        <v>0.98918353263610981</v>
      </c>
      <c r="BE105" s="360">
        <f t="shared" si="132"/>
        <v>9.2190592739150465E-2</v>
      </c>
      <c r="BK105" s="18"/>
      <c r="BL105" s="19"/>
    </row>
    <row r="106" spans="7:64" x14ac:dyDescent="0.2">
      <c r="G106">
        <v>97</v>
      </c>
      <c r="H106" s="548">
        <f t="shared" si="85"/>
        <v>21</v>
      </c>
      <c r="I106" s="4">
        <f t="shared" si="86"/>
        <v>1</v>
      </c>
      <c r="J106" s="360">
        <f t="shared" si="116"/>
        <v>4.8499999999999996</v>
      </c>
      <c r="K106" s="360">
        <f t="shared" si="87"/>
        <v>4.8499999999999996</v>
      </c>
      <c r="L106" s="4">
        <f t="shared" si="134"/>
        <v>5.1322751322751321</v>
      </c>
      <c r="M106" s="360">
        <f t="shared" si="89"/>
        <v>0.95469570775755663</v>
      </c>
      <c r="N106" s="4">
        <f t="shared" si="135"/>
        <v>0.30279765531043817</v>
      </c>
      <c r="O106" s="4">
        <f t="shared" si="117"/>
        <v>5.001398827655219</v>
      </c>
      <c r="P106" s="4">
        <f t="shared" si="118"/>
        <v>4.6986011723447803</v>
      </c>
      <c r="Q106" s="4">
        <f t="shared" si="136"/>
        <v>0</v>
      </c>
      <c r="R106" s="4">
        <f t="shared" si="119"/>
        <v>4.8507876200680151</v>
      </c>
      <c r="S106" s="360">
        <f t="shared" si="137"/>
        <v>9.4120562140020472E-2</v>
      </c>
      <c r="T106" s="360">
        <f t="shared" si="93"/>
        <v>0.3</v>
      </c>
      <c r="U106" s="360">
        <f t="shared" si="138"/>
        <v>0.39711066445766469</v>
      </c>
      <c r="V106" s="4">
        <f t="shared" si="120"/>
        <v>8.7410153901734497E-2</v>
      </c>
      <c r="W106" s="360">
        <f t="shared" si="121"/>
        <v>1.528107001024982E-5</v>
      </c>
      <c r="X106" s="360">
        <f t="shared" si="122"/>
        <v>1.528107001024982E-5</v>
      </c>
      <c r="Y106" s="4">
        <f t="shared" si="123"/>
        <v>1.0088217119220324</v>
      </c>
      <c r="Z106" s="360">
        <f t="shared" si="124"/>
        <v>1.0177212464453E-3</v>
      </c>
      <c r="AA106" s="541">
        <f t="shared" si="125"/>
        <v>1.0177212464453E-3</v>
      </c>
      <c r="AB106" s="360">
        <f t="shared" si="126"/>
        <v>4.7396333372637045</v>
      </c>
      <c r="AC106" s="360">
        <f t="shared" si="139"/>
        <v>0.1347847450302089</v>
      </c>
      <c r="AD106" s="360">
        <f t="shared" si="96"/>
        <v>0.36220939066577357</v>
      </c>
      <c r="AE106" s="360">
        <f t="shared" si="97"/>
        <v>0.6042329999999998</v>
      </c>
      <c r="AF106" s="360">
        <f t="shared" si="98"/>
        <v>0</v>
      </c>
      <c r="AG106" s="360">
        <f t="shared" si="140"/>
        <v>1.1317352655374133</v>
      </c>
      <c r="AH106" s="360">
        <f t="shared" si="100"/>
        <v>1.0324806842278622</v>
      </c>
      <c r="AI106" s="360">
        <f t="shared" si="141"/>
        <v>2.6650409082590865E-3</v>
      </c>
      <c r="AJ106" s="360">
        <f t="shared" si="102"/>
        <v>0.19011999999999998</v>
      </c>
      <c r="AK106" s="360">
        <f t="shared" si="142"/>
        <v>0.19286316711922957</v>
      </c>
      <c r="AL106" s="360">
        <f t="shared" si="104"/>
        <v>0.19011999999999998</v>
      </c>
      <c r="AM106" s="360">
        <f t="shared" si="105"/>
        <v>2.4443999999999999</v>
      </c>
      <c r="AN106" s="360">
        <f t="shared" si="106"/>
        <v>9.4120562140020472E-2</v>
      </c>
      <c r="AO106" s="360">
        <f t="shared" si="107"/>
        <v>7.3499999999999998E-4</v>
      </c>
      <c r="AP106" s="360">
        <f t="shared" si="108"/>
        <v>0.32999999999999996</v>
      </c>
      <c r="AQ106" s="360">
        <f t="shared" si="109"/>
        <v>1.2539999999999998</v>
      </c>
      <c r="AR106" s="360">
        <f t="shared" si="110"/>
        <v>1.0559999999999998</v>
      </c>
      <c r="AS106" s="360">
        <f t="shared" si="133"/>
        <v>0.33073499999999995</v>
      </c>
      <c r="AT106" s="360">
        <f t="shared" si="143"/>
        <v>4.7821176615707826</v>
      </c>
      <c r="AU106">
        <f t="shared" si="112"/>
        <v>97</v>
      </c>
      <c r="AV106" s="542">
        <f t="shared" si="127"/>
        <v>0.95301613120812156</v>
      </c>
      <c r="AW106" s="551">
        <f t="shared" si="113"/>
        <v>137.25196327687067</v>
      </c>
      <c r="AX106" s="551">
        <f t="shared" si="114"/>
        <v>37.981576350530723</v>
      </c>
      <c r="AY106" s="9"/>
      <c r="AZ106" s="4">
        <f t="shared" si="128"/>
        <v>95.301613120812164</v>
      </c>
      <c r="BA106" s="360">
        <f t="shared" si="115"/>
        <v>0.39711066445766469</v>
      </c>
      <c r="BB106" s="360">
        <f t="shared" si="129"/>
        <v>3.7689984326566428</v>
      </c>
      <c r="BC106" s="360">
        <f t="shared" si="130"/>
        <v>2.7450392655374136</v>
      </c>
      <c r="BD106" s="360">
        <f t="shared" si="131"/>
        <v>0.99951516711922961</v>
      </c>
      <c r="BE106" s="360">
        <f t="shared" si="132"/>
        <v>9.4120562140020472E-2</v>
      </c>
      <c r="BK106" s="18"/>
      <c r="BL106" s="19"/>
    </row>
    <row r="107" spans="7:64" x14ac:dyDescent="0.2">
      <c r="G107">
        <v>98</v>
      </c>
      <c r="H107" s="548">
        <f t="shared" si="85"/>
        <v>21</v>
      </c>
      <c r="I107" s="4">
        <f t="shared" si="86"/>
        <v>1</v>
      </c>
      <c r="J107" s="360">
        <f t="shared" si="116"/>
        <v>4.9000000000000004</v>
      </c>
      <c r="K107" s="360">
        <f t="shared" si="87"/>
        <v>4.9000000000000004</v>
      </c>
      <c r="L107" s="4">
        <f t="shared" si="134"/>
        <v>5.1851851851851842</v>
      </c>
      <c r="M107" s="360">
        <f t="shared" si="89"/>
        <v>0.95471956843130201</v>
      </c>
      <c r="N107" s="4">
        <f t="shared" si="135"/>
        <v>0.30264610319272289</v>
      </c>
      <c r="O107" s="4">
        <f t="shared" si="117"/>
        <v>5.0513230515963619</v>
      </c>
      <c r="P107" s="4">
        <f t="shared" si="118"/>
        <v>4.7486769484036389</v>
      </c>
      <c r="Q107" s="4">
        <f t="shared" si="136"/>
        <v>0</v>
      </c>
      <c r="R107" s="4">
        <f t="shared" si="119"/>
        <v>4.9007788042971443</v>
      </c>
      <c r="S107" s="360">
        <f t="shared" si="137"/>
        <v>9.6070531554592595E-2</v>
      </c>
      <c r="T107" s="360">
        <f t="shared" si="93"/>
        <v>0.3</v>
      </c>
      <c r="U107" s="360">
        <f t="shared" si="138"/>
        <v>0.39913816480713227</v>
      </c>
      <c r="V107" s="4">
        <f t="shared" si="120"/>
        <v>8.7366404573754913E-2</v>
      </c>
      <c r="W107" s="360">
        <f t="shared" si="121"/>
        <v>1.5265777296290047E-5</v>
      </c>
      <c r="X107" s="360">
        <f t="shared" si="122"/>
        <v>1.5265777296290047E-5</v>
      </c>
      <c r="Y107" s="4">
        <f t="shared" si="123"/>
        <v>1.0189627126855672</v>
      </c>
      <c r="Z107" s="360">
        <f t="shared" si="124"/>
        <v>1.0382850098435298E-3</v>
      </c>
      <c r="AA107" s="541">
        <f t="shared" si="125"/>
        <v>1.0382850098435298E-3</v>
      </c>
      <c r="AB107" s="360">
        <f t="shared" si="126"/>
        <v>4.7885388278880656</v>
      </c>
      <c r="AC107" s="360">
        <f t="shared" si="139"/>
        <v>0.13758062463714965</v>
      </c>
      <c r="AD107" s="360">
        <f t="shared" si="96"/>
        <v>0.36594350809531762</v>
      </c>
      <c r="AE107" s="360">
        <f t="shared" si="97"/>
        <v>0.6042329999999998</v>
      </c>
      <c r="AF107" s="360">
        <f t="shared" si="98"/>
        <v>0</v>
      </c>
      <c r="AG107" s="360">
        <f t="shared" si="140"/>
        <v>1.1391007718763486</v>
      </c>
      <c r="AH107" s="360">
        <f t="shared" si="100"/>
        <v>1.0428464807710398</v>
      </c>
      <c r="AI107" s="360">
        <f t="shared" si="141"/>
        <v>2.7188219561413568E-3</v>
      </c>
      <c r="AJ107" s="360">
        <f t="shared" si="102"/>
        <v>0.19208</v>
      </c>
      <c r="AK107" s="360">
        <f t="shared" si="142"/>
        <v>0.19487935798228806</v>
      </c>
      <c r="AL107" s="360">
        <f t="shared" si="104"/>
        <v>0.19208</v>
      </c>
      <c r="AM107" s="360">
        <f t="shared" si="105"/>
        <v>2.4696000000000002</v>
      </c>
      <c r="AN107" s="360">
        <f t="shared" si="106"/>
        <v>9.6070531554592595E-2</v>
      </c>
      <c r="AO107" s="360">
        <f t="shared" si="107"/>
        <v>7.3499999999999998E-4</v>
      </c>
      <c r="AP107" s="360">
        <f t="shared" si="108"/>
        <v>0.32999999999999996</v>
      </c>
      <c r="AQ107" s="360">
        <f t="shared" si="109"/>
        <v>1.2539999999999998</v>
      </c>
      <c r="AR107" s="360">
        <f t="shared" si="110"/>
        <v>1.0559999999999998</v>
      </c>
      <c r="AS107" s="360">
        <f t="shared" si="133"/>
        <v>0.33073499999999995</v>
      </c>
      <c r="AT107" s="360">
        <f t="shared" si="143"/>
        <v>4.8226573770075012</v>
      </c>
      <c r="AU107">
        <f t="shared" si="112"/>
        <v>98</v>
      </c>
      <c r="AV107" s="542">
        <f t="shared" si="127"/>
        <v>0.95309732796221325</v>
      </c>
      <c r="AW107" s="551">
        <f t="shared" si="113"/>
        <v>138.45183859381746</v>
      </c>
      <c r="AX107" s="551">
        <f t="shared" si="114"/>
        <v>38.37419960332695</v>
      </c>
      <c r="AY107" s="9"/>
      <c r="AZ107" s="4">
        <f t="shared" si="128"/>
        <v>95.309732796221326</v>
      </c>
      <c r="BA107" s="360">
        <f t="shared" si="115"/>
        <v>0.39913816480713227</v>
      </c>
      <c r="BB107" s="360">
        <f t="shared" si="129"/>
        <v>3.8035801298586369</v>
      </c>
      <c r="BC107" s="360">
        <f t="shared" si="130"/>
        <v>2.7690367718763489</v>
      </c>
      <c r="BD107" s="360">
        <f t="shared" si="131"/>
        <v>1.0098473579822882</v>
      </c>
      <c r="BE107" s="360">
        <f t="shared" si="132"/>
        <v>9.6070531554592595E-2</v>
      </c>
      <c r="BK107" s="18"/>
      <c r="BL107" s="19"/>
    </row>
    <row r="108" spans="7:64" x14ac:dyDescent="0.2">
      <c r="G108">
        <v>99</v>
      </c>
      <c r="H108" s="548">
        <f t="shared" si="85"/>
        <v>21</v>
      </c>
      <c r="I108" s="4">
        <f t="shared" si="86"/>
        <v>1</v>
      </c>
      <c r="J108" s="360">
        <f t="shared" si="116"/>
        <v>4.95</v>
      </c>
      <c r="K108" s="360">
        <f t="shared" si="87"/>
        <v>4.95</v>
      </c>
      <c r="L108" s="4">
        <f t="shared" si="134"/>
        <v>5.2380952380952372</v>
      </c>
      <c r="M108" s="360">
        <f t="shared" si="89"/>
        <v>0.95474342904824305</v>
      </c>
      <c r="N108" s="4">
        <f t="shared" si="135"/>
        <v>0.3024945431034522</v>
      </c>
      <c r="O108" s="4">
        <f t="shared" si="117"/>
        <v>5.1012472715517259</v>
      </c>
      <c r="P108" s="4">
        <f t="shared" si="118"/>
        <v>4.7987527284482745</v>
      </c>
      <c r="Q108" s="4">
        <f t="shared" si="136"/>
        <v>0</v>
      </c>
      <c r="R108" s="4">
        <f t="shared" si="119"/>
        <v>4.9507701669252722</v>
      </c>
      <c r="S108" s="360">
        <f t="shared" si="137"/>
        <v>9.804050098286915E-2</v>
      </c>
      <c r="T108" s="360">
        <f t="shared" si="93"/>
        <v>0.3</v>
      </c>
      <c r="U108" s="360">
        <f t="shared" si="138"/>
        <v>0.40118710778568328</v>
      </c>
      <c r="V108" s="4">
        <f t="shared" si="120"/>
        <v>8.7322652944585494E-2</v>
      </c>
      <c r="W108" s="360">
        <f t="shared" si="121"/>
        <v>1.5250491434561053E-5</v>
      </c>
      <c r="X108" s="360">
        <f t="shared" si="122"/>
        <v>1.5250491434561053E-5</v>
      </c>
      <c r="Y108" s="4">
        <f t="shared" si="123"/>
        <v>1.0290984561127092</v>
      </c>
      <c r="Z108" s="360">
        <f t="shared" si="124"/>
        <v>1.0590436323735617E-3</v>
      </c>
      <c r="AA108" s="541">
        <f t="shared" si="125"/>
        <v>1.0590436323735617E-3</v>
      </c>
      <c r="AB108" s="360">
        <f t="shared" si="126"/>
        <v>4.8374457127184414</v>
      </c>
      <c r="AC108" s="360">
        <f t="shared" si="139"/>
        <v>0.14040528614098818</v>
      </c>
      <c r="AD108" s="360">
        <f t="shared" si="96"/>
        <v>0.36967762552486166</v>
      </c>
      <c r="AE108" s="360">
        <f t="shared" si="97"/>
        <v>0.6042329999999998</v>
      </c>
      <c r="AF108" s="360">
        <f t="shared" si="98"/>
        <v>0</v>
      </c>
      <c r="AG108" s="360">
        <f t="shared" si="140"/>
        <v>1.146511157080597</v>
      </c>
      <c r="AH108" s="360">
        <f t="shared" si="100"/>
        <v>1.0532066379487235</v>
      </c>
      <c r="AI108" s="360">
        <f t="shared" si="141"/>
        <v>2.773110555548134E-3</v>
      </c>
      <c r="AJ108" s="360">
        <f t="shared" si="102"/>
        <v>0.19403999999999999</v>
      </c>
      <c r="AK108" s="360">
        <f t="shared" si="142"/>
        <v>0.19689610478485997</v>
      </c>
      <c r="AL108" s="360">
        <f t="shared" si="104"/>
        <v>0.19403999999999999</v>
      </c>
      <c r="AM108" s="360">
        <f t="shared" si="105"/>
        <v>2.4947999999999997</v>
      </c>
      <c r="AN108" s="360">
        <f t="shared" si="106"/>
        <v>9.804050098286915E-2</v>
      </c>
      <c r="AO108" s="360">
        <f t="shared" si="107"/>
        <v>7.3499999999999998E-4</v>
      </c>
      <c r="AP108" s="360">
        <f t="shared" si="108"/>
        <v>0.32999999999999996</v>
      </c>
      <c r="AQ108" s="360">
        <f t="shared" si="109"/>
        <v>1.2539999999999998</v>
      </c>
      <c r="AR108" s="360">
        <f t="shared" si="110"/>
        <v>1.0559999999999998</v>
      </c>
      <c r="AS108" s="360">
        <f t="shared" si="133"/>
        <v>0.33073499999999995</v>
      </c>
      <c r="AT108" s="360">
        <f t="shared" si="143"/>
        <v>4.8632841647578173</v>
      </c>
      <c r="AU108">
        <f t="shared" si="112"/>
        <v>99</v>
      </c>
      <c r="AV108" s="542">
        <f t="shared" si="127"/>
        <v>0.95317609871604669</v>
      </c>
      <c r="AW108" s="551">
        <f t="shared" si="113"/>
        <v>139.65395785402984</v>
      </c>
      <c r="AX108" s="551">
        <f t="shared" si="114"/>
        <v>38.766843981824671</v>
      </c>
      <c r="AY108" s="9"/>
      <c r="AZ108" s="4">
        <f t="shared" si="128"/>
        <v>95.317609871604674</v>
      </c>
      <c r="BA108" s="360">
        <f t="shared" si="115"/>
        <v>0.40118710778568328</v>
      </c>
      <c r="BB108" s="360">
        <f t="shared" si="129"/>
        <v>3.8382072618654566</v>
      </c>
      <c r="BC108" s="360">
        <f t="shared" si="130"/>
        <v>2.7930791570805971</v>
      </c>
      <c r="BD108" s="360">
        <f t="shared" si="131"/>
        <v>1.0201801047848598</v>
      </c>
      <c r="BE108" s="360">
        <f t="shared" si="132"/>
        <v>9.804050098286915E-2</v>
      </c>
      <c r="BK108" s="18"/>
      <c r="BL108" s="19"/>
    </row>
    <row r="109" spans="7:64" x14ac:dyDescent="0.2">
      <c r="G109">
        <v>100</v>
      </c>
      <c r="H109" s="548">
        <f t="shared" si="85"/>
        <v>21</v>
      </c>
      <c r="I109" s="4">
        <f t="shared" si="86"/>
        <v>1</v>
      </c>
      <c r="J109" s="360">
        <f t="shared" si="116"/>
        <v>5</v>
      </c>
      <c r="K109" s="360">
        <f t="shared" si="87"/>
        <v>5</v>
      </c>
      <c r="L109" s="4">
        <f t="shared" si="134"/>
        <v>5.2910052910052903</v>
      </c>
      <c r="M109" s="360">
        <f t="shared" si="89"/>
        <v>0.95476728960837987</v>
      </c>
      <c r="N109" s="4">
        <f t="shared" si="135"/>
        <v>0.30234297504265339</v>
      </c>
      <c r="O109" s="4">
        <f t="shared" si="117"/>
        <v>5.151171487521327</v>
      </c>
      <c r="P109" s="4">
        <f t="shared" si="118"/>
        <v>4.848828512478673</v>
      </c>
      <c r="Q109" s="4">
        <f t="shared" si="136"/>
        <v>0</v>
      </c>
      <c r="R109" s="4">
        <f t="shared" si="119"/>
        <v>5.0007617026022286</v>
      </c>
      <c r="S109" s="360">
        <f t="shared" si="137"/>
        <v>0.10003047042485257</v>
      </c>
      <c r="T109" s="360">
        <f t="shared" si="93"/>
        <v>0.3</v>
      </c>
      <c r="U109" s="360">
        <f t="shared" si="138"/>
        <v>0.40325751352729189</v>
      </c>
      <c r="V109" s="4">
        <f t="shared" si="120"/>
        <v>8.7278899014234121E-2</v>
      </c>
      <c r="W109" s="360">
        <f t="shared" si="121"/>
        <v>1.5235212426273756E-5</v>
      </c>
      <c r="X109" s="360">
        <f t="shared" si="122"/>
        <v>1.5235212426273756E-5</v>
      </c>
      <c r="Y109" s="4">
        <f t="shared" si="123"/>
        <v>1.0392289386483411</v>
      </c>
      <c r="Z109" s="360">
        <f t="shared" si="124"/>
        <v>1.0799967869241575E-3</v>
      </c>
      <c r="AA109" s="541">
        <f t="shared" si="125"/>
        <v>1.0799967869241575E-3</v>
      </c>
      <c r="AB109" s="360">
        <f t="shared" si="126"/>
        <v>4.8863539865063936</v>
      </c>
      <c r="AC109" s="360">
        <f t="shared" si="139"/>
        <v>0.14325873168868156</v>
      </c>
      <c r="AD109" s="360">
        <f t="shared" si="96"/>
        <v>0.37341174295440571</v>
      </c>
      <c r="AE109" s="360">
        <f t="shared" si="97"/>
        <v>0.6042329999999998</v>
      </c>
      <c r="AF109" s="360">
        <f t="shared" si="98"/>
        <v>0</v>
      </c>
      <c r="AG109" s="360">
        <f t="shared" si="140"/>
        <v>1.1539666339203853</v>
      </c>
      <c r="AH109" s="360">
        <f t="shared" si="100"/>
        <v>1.0635611523397326</v>
      </c>
      <c r="AI109" s="360">
        <f t="shared" si="141"/>
        <v>2.8279058119155499E-3</v>
      </c>
      <c r="AJ109" s="360">
        <f t="shared" si="102"/>
        <v>0.19600000000000001</v>
      </c>
      <c r="AK109" s="360">
        <f t="shared" si="142"/>
        <v>0.19891340708567032</v>
      </c>
      <c r="AL109" s="360">
        <f t="shared" si="104"/>
        <v>0.19600000000000001</v>
      </c>
      <c r="AM109" s="360">
        <f t="shared" si="105"/>
        <v>2.52</v>
      </c>
      <c r="AN109" s="360">
        <f t="shared" si="106"/>
        <v>0.10003047042485257</v>
      </c>
      <c r="AO109" s="360">
        <f t="shared" si="107"/>
        <v>7.3499999999999998E-4</v>
      </c>
      <c r="AP109" s="360">
        <f t="shared" si="108"/>
        <v>0.32999999999999996</v>
      </c>
      <c r="AQ109" s="360">
        <f t="shared" si="109"/>
        <v>1.2539999999999998</v>
      </c>
      <c r="AR109" s="360">
        <f t="shared" si="110"/>
        <v>1.0559999999999998</v>
      </c>
      <c r="AS109" s="360">
        <f t="shared" si="133"/>
        <v>0.33073499999999995</v>
      </c>
      <c r="AT109" s="360">
        <f t="shared" si="143"/>
        <v>4.90399825695755</v>
      </c>
      <c r="AU109">
        <f t="shared" si="112"/>
        <v>100</v>
      </c>
      <c r="AV109" s="542">
        <f t="shared" si="127"/>
        <v>0.95325251336040184</v>
      </c>
      <c r="AW109" s="551">
        <f t="shared" si="113"/>
        <v>140.85833169601926</v>
      </c>
      <c r="AX109" s="551">
        <f t="shared" si="114"/>
        <v>39.159509469255468</v>
      </c>
      <c r="AY109" s="9"/>
      <c r="AZ109" s="4">
        <f t="shared" si="128"/>
        <v>95.325251336040182</v>
      </c>
      <c r="BA109" s="360">
        <f t="shared" si="115"/>
        <v>0.40325751352729189</v>
      </c>
      <c r="BB109" s="360">
        <f t="shared" si="129"/>
        <v>3.8728800410060558</v>
      </c>
      <c r="BC109" s="360">
        <f t="shared" si="130"/>
        <v>2.8171666339203854</v>
      </c>
      <c r="BD109" s="360">
        <f t="shared" si="131"/>
        <v>1.0305134070856703</v>
      </c>
      <c r="BE109" s="360">
        <f t="shared" si="132"/>
        <v>0.10003047042485257</v>
      </c>
      <c r="BK109" s="18"/>
      <c r="BL109" s="19"/>
    </row>
    <row r="110" spans="7:64" x14ac:dyDescent="0.2">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75" x14ac:dyDescent="0.2"/>
  <cols>
    <col min="1" max="1" width="19.85546875" customWidth="1"/>
    <col min="2" max="2" width="13.140625" bestFit="1" customWidth="1"/>
    <col min="4" max="4" width="74.5703125" customWidth="1"/>
    <col min="6" max="6" width="9.140625" customWidth="1"/>
    <col min="7" max="7" width="6.85546875" customWidth="1"/>
    <col min="8" max="8" width="9.140625" style="547"/>
    <col min="9" max="9" width="9.85546875" customWidth="1"/>
    <col min="10" max="10" width="8.140625" customWidth="1"/>
    <col min="11" max="12" width="7.42578125" customWidth="1"/>
    <col min="13" max="13" width="10.7109375" style="360" customWidth="1"/>
    <col min="14" max="16" width="8.85546875" style="4" customWidth="1"/>
    <col min="17" max="17" width="11" style="4" customWidth="1"/>
    <col min="18" max="18" width="8" style="4" customWidth="1"/>
    <col min="19" max="19" width="9.42578125" style="311" customWidth="1"/>
    <col min="20" max="20" width="8" customWidth="1"/>
    <col min="21" max="21" width="9.28515625" customWidth="1"/>
    <col min="22" max="22" width="8.85546875" style="4" customWidth="1"/>
    <col min="23" max="23" width="9.85546875" customWidth="1"/>
    <col min="24" max="24" width="10.7109375" customWidth="1"/>
    <col min="25" max="25" width="9.7109375" style="311" customWidth="1"/>
    <col min="26" max="26" width="10.5703125" customWidth="1"/>
    <col min="28" max="29" width="8.5703125" customWidth="1"/>
    <col min="30" max="30" width="10" customWidth="1"/>
    <col min="31" max="31" width="12.28515625" customWidth="1"/>
    <col min="32" max="32" width="8" customWidth="1"/>
    <col min="33" max="33" width="9.85546875" customWidth="1"/>
    <col min="34" max="35" width="8.85546875" customWidth="1"/>
    <col min="36" max="36" width="10.5703125" customWidth="1"/>
    <col min="37" max="37" width="10.28515625" customWidth="1"/>
    <col min="38" max="38" width="13.7109375" customWidth="1"/>
    <col min="39" max="39" width="12" style="311" customWidth="1"/>
    <col min="40" max="40" width="11.5703125" customWidth="1"/>
    <col min="41" max="41" width="9.28515625" customWidth="1"/>
    <col min="42" max="44" width="10.42578125" customWidth="1"/>
    <col min="46" max="46" width="8.42578125" style="4" customWidth="1"/>
    <col min="47" max="47" width="7.28515625" customWidth="1"/>
    <col min="48" max="48" width="10.140625" style="9" customWidth="1"/>
    <col min="49" max="49" width="12.42578125" style="379" customWidth="1"/>
    <col min="50" max="50" width="11.42578125" style="379" customWidth="1"/>
    <col min="51" max="51" width="3.28515625" customWidth="1"/>
    <col min="52" max="52" width="7.85546875" style="360" customWidth="1"/>
    <col min="53" max="53" width="9.140625" style="311"/>
    <col min="54" max="54" width="10.28515625" style="311" customWidth="1"/>
    <col min="55" max="55" width="12.140625" style="311" customWidth="1"/>
    <col min="56" max="56" width="8.85546875" style="311" customWidth="1"/>
    <col min="57" max="57" width="7.85546875" customWidth="1"/>
    <col min="61" max="61" width="28.42578125" customWidth="1"/>
    <col min="64" max="64" width="12.42578125" bestFit="1" customWidth="1"/>
  </cols>
  <sheetData>
    <row r="1" spans="1:65" ht="12.75" customHeight="1" x14ac:dyDescent="0.2">
      <c r="A1" s="763" t="s">
        <v>753</v>
      </c>
      <c r="B1" s="763"/>
      <c r="C1" s="763"/>
      <c r="D1" s="763"/>
    </row>
    <row r="2" spans="1:65" ht="12.75" customHeight="1" x14ac:dyDescent="0.2">
      <c r="A2" s="763"/>
      <c r="B2" s="763"/>
      <c r="C2" s="763"/>
      <c r="D2" s="763"/>
      <c r="H2" s="552">
        <f>AV19</f>
        <v>0.8644876773459611</v>
      </c>
      <c r="I2" s="114" t="s">
        <v>602</v>
      </c>
      <c r="AK2" s="114"/>
    </row>
    <row r="3" spans="1:65" ht="12.75" customHeight="1" x14ac:dyDescent="0.2">
      <c r="A3" s="763"/>
      <c r="B3" s="763"/>
      <c r="C3" s="763"/>
      <c r="D3" s="763"/>
      <c r="H3" s="552">
        <f>AV59</f>
        <v>0.94382024865696657</v>
      </c>
      <c r="I3" s="114" t="s">
        <v>604</v>
      </c>
      <c r="AK3" s="114"/>
    </row>
    <row r="4" spans="1:65" ht="12.75" customHeight="1" x14ac:dyDescent="0.2">
      <c r="A4" s="763"/>
      <c r="B4" s="763"/>
      <c r="C4" s="763"/>
      <c r="D4" s="763"/>
      <c r="H4" s="552">
        <f>AV109</f>
        <v>0.95308907735133519</v>
      </c>
      <c r="I4" s="114" t="s">
        <v>603</v>
      </c>
      <c r="AK4" s="114"/>
      <c r="AM4" s="311">
        <f>QrrSky_Q4</f>
        <v>0</v>
      </c>
    </row>
    <row r="5" spans="1:65" x14ac:dyDescent="0.2">
      <c r="A5" s="10"/>
      <c r="B5" s="11"/>
      <c r="C5" s="6"/>
      <c r="D5" s="6"/>
    </row>
    <row r="6" spans="1:65" ht="13.5" customHeight="1" thickBot="1" x14ac:dyDescent="0.25">
      <c r="A6" s="764" t="s">
        <v>474</v>
      </c>
      <c r="B6" s="764"/>
      <c r="C6" s="764"/>
      <c r="D6" s="764"/>
    </row>
    <row r="7" spans="1:65" ht="13.5" thickBot="1" x14ac:dyDescent="0.25">
      <c r="A7" s="764"/>
      <c r="B7" s="764"/>
      <c r="C7" s="764"/>
      <c r="D7" s="764"/>
      <c r="G7" s="756" t="s">
        <v>595</v>
      </c>
      <c r="H7" s="757"/>
      <c r="I7" s="757"/>
      <c r="J7" s="757"/>
      <c r="K7" s="757"/>
      <c r="L7" s="768"/>
      <c r="M7" s="757"/>
      <c r="N7" s="758"/>
      <c r="O7" s="661"/>
      <c r="P7" s="661"/>
      <c r="Q7" s="661"/>
      <c r="R7" s="756" t="s">
        <v>485</v>
      </c>
      <c r="S7" s="757"/>
      <c r="T7" s="757"/>
      <c r="U7" s="758"/>
      <c r="V7" s="765" t="s">
        <v>25</v>
      </c>
      <c r="W7" s="766"/>
      <c r="X7" s="767"/>
      <c r="Y7" s="756" t="s">
        <v>57</v>
      </c>
      <c r="Z7" s="757"/>
      <c r="AA7" s="758"/>
      <c r="AB7" s="756" t="s">
        <v>592</v>
      </c>
      <c r="AC7" s="757"/>
      <c r="AD7" s="757"/>
      <c r="AE7" s="768"/>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77.25" thickBot="1" x14ac:dyDescent="0.4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x14ac:dyDescent="0.2">
      <c r="A9" s="14" t="s">
        <v>55</v>
      </c>
      <c r="B9" s="15" t="s">
        <v>111</v>
      </c>
      <c r="C9" s="16" t="s">
        <v>76</v>
      </c>
      <c r="D9" s="17" t="s">
        <v>107</v>
      </c>
      <c r="G9">
        <v>0</v>
      </c>
      <c r="H9" s="548">
        <f t="shared" ref="H9:H72" si="0">Vin</f>
        <v>21</v>
      </c>
      <c r="I9" s="4">
        <f t="shared" ref="I9:I40" si="1">MODE</f>
        <v>1</v>
      </c>
      <c r="J9">
        <v>0</v>
      </c>
      <c r="K9" s="4">
        <f t="shared" ref="K9:K40" si="2">Vout2*J9/(Vin*Efficiency)</f>
        <v>0</v>
      </c>
      <c r="L9" s="4"/>
      <c r="M9" s="360">
        <f t="shared" ref="M9:M40" si="3">(Vout2+(Rdson4+Rs+Rdcr)*J9)/(Vin+(Rs+Rdson2-Rdson1)*J9)</f>
        <v>0.95238095238095233</v>
      </c>
      <c r="N9" s="4">
        <f t="shared" ref="N9:N40" si="4">(Vin-(Rdson3+Rdcr2)*J9-Vout2)*M9/(Fsw*Lo_2)</f>
        <v>0.31746031746031744</v>
      </c>
      <c r="O9" s="4">
        <f>J9+N9/2</f>
        <v>0.15873015873015872</v>
      </c>
      <c r="P9" s="4">
        <f>J9-N9/2</f>
        <v>-0.15873015873015872</v>
      </c>
      <c r="Q9" s="4">
        <f t="shared" ref="Q9:Q40" si="5">IF(MIN(Vin, -P9/(Coss_Q3+Coss_Q4)*0.00000002)&lt;0, 0, MIN(Vin, -P9/(Coss_Q3+Coss_Q4)*0.00000002))</f>
        <v>1.6594893751192759</v>
      </c>
      <c r="R9" s="4">
        <f t="shared" ref="R9:R40" si="6">SQRT(J9^2+(N9^2)/12)</f>
        <v>9.1642899871369157E-2</v>
      </c>
      <c r="S9" s="360">
        <f t="shared" ref="S9:S40" si="7">R9^2*Rdcr2</f>
        <v>4.199210548416896E-5</v>
      </c>
      <c r="T9" s="360">
        <f t="shared" ref="T9:T40" si="8">Core_Loss_Ch1</f>
        <v>0.3</v>
      </c>
      <c r="U9" s="360">
        <f t="shared" ref="U9:U40" si="9">(T9+S9*(1+Ltc*(Ta-25)))/(1-S9*Ltc*ThetaCa)</f>
        <v>0.30004300006046886</v>
      </c>
      <c r="V9" s="4">
        <f>N9/SQRT(12)</f>
        <v>9.1642899871369171E-2</v>
      </c>
      <c r="W9" s="360">
        <f t="shared" ref="W9:W40" si="10">Cout2_ESR*V9^2</f>
        <v>1.6796842193667591E-5</v>
      </c>
      <c r="X9" s="360">
        <f>W9</f>
        <v>1.6796842193667591E-5</v>
      </c>
      <c r="Y9" s="4">
        <f t="shared" ref="Y9:Y40" si="11">SQRT(M9*(1-M9))*SQRT(J9^2+(N9^2)/12)</f>
        <v>1.9516167025484598E-2</v>
      </c>
      <c r="Z9" s="360">
        <f t="shared" ref="Z9:Z73" si="12">RCinEsr*Y9^2</f>
        <v>3.8088077536661234E-7</v>
      </c>
      <c r="AA9" s="541">
        <f>Z9</f>
        <v>3.8088077536661234E-7</v>
      </c>
      <c r="AB9" s="360">
        <f t="shared" ref="AB9:AB40" si="13">SQRT(M9)*SQRT(J9^2+(N9^2)/12)</f>
        <v>8.9434312669684282E-2</v>
      </c>
      <c r="AC9" s="360">
        <f t="shared" ref="AC9:AC40" si="14">Rdson3*AB9^2</f>
        <v>4.7990977696193109E-5</v>
      </c>
      <c r="AD9" s="360">
        <f t="shared" ref="AD9:AD40" si="15">(Vin*J9/2)*Fsw*(Tr_Ch2+Tf_Ch2)</f>
        <v>0</v>
      </c>
      <c r="AE9" s="360">
        <f t="shared" ref="AE9:AE40" si="16">(0.5*Coss_Q3*(Vin-Q9)^2-0.5*Coss_Q4*(Vin-Q9)^2+(Qoss_Q4*(Vin-Q9)/Vin)*Vin)*Fsw</f>
        <v>0.60421033021216175</v>
      </c>
      <c r="AF9" s="360">
        <f t="shared" ref="AF9:AF40" si="17">IF(J9&gt;N9/2,0,ABS(J9-N9/2)*Vsd_Q3*Deadtime*Fsw)</f>
        <v>3.1111111111111105E-3</v>
      </c>
      <c r="AG9" s="360">
        <f t="shared" ref="AG9:AG40" si="18">(AF9+AE9+AD9+AC9*(1+RdsonTopTc*Ta-RdsonTopTc*25))/(1-AC9*RdsonTopTc*ThetaJA_Q2)</f>
        <v>0.60737386286772588</v>
      </c>
      <c r="AH9" s="360">
        <f t="shared" ref="AH9:AH40" si="19">SQRT((1-M9))*SQRT(J9^2+(N9^2)/12)</f>
        <v>1.9998120265038485E-2</v>
      </c>
      <c r="AI9" s="360">
        <f t="shared" ref="AI9:AI40" si="20">Rdson4*AH9^2</f>
        <v>9.9981203533735742E-7</v>
      </c>
      <c r="AJ9" s="360">
        <f t="shared" ref="AJ9:AJ40" si="21">IF(J9&lt;N9/2,Deadtime*Fsw*IF(VfdSky_Q4&gt;0,0,Vsd_Q4)*(J9+N9/2),2*Deadtime*Fsw*IF(VfdSky_Q4&gt;0,0,Vsd_Q4)*J9)</f>
        <v>3.1111111111111109E-3</v>
      </c>
      <c r="AK9" s="360">
        <f t="shared" ref="AK9:AK40" si="22">(AJ9+AI9*(1+RdsonBotTc*Ta-RdsonBotTc*25))/(1-AI9*RdsonBotTc*ThetaJA_Q3)</f>
        <v>3.1121115454517639E-3</v>
      </c>
      <c r="AL9" s="360">
        <f t="shared" ref="AL9:AL40" si="23">2*Deadtime*Fsw*IF(VfdSky_Q4&gt;0,VfdSky_Q4,Vsd_Q4)*J9</f>
        <v>0</v>
      </c>
      <c r="AM9" s="360">
        <f t="shared" ref="AM9:AM40" si="24">IF(QrrSky_Q4&gt;0,QrrSky_Q4,Qrr_Q4*J9/Iout2)*Fsw*Vin</f>
        <v>0</v>
      </c>
      <c r="AN9" s="360">
        <f t="shared" ref="AN9:AN40" si="25">CHOOSE(SENSING_TYPE, Rs_Ch2*R9^2, 0)</f>
        <v>3.3593684387335169E-5</v>
      </c>
      <c r="AO9" s="360">
        <f t="shared" ref="AO9:AO40" si="26">Iq*Vin</f>
        <v>7.3499999999999998E-4</v>
      </c>
      <c r="AP9" s="360">
        <f t="shared" ref="AP9:AP40" si="27">IF(Ext_VCC=1,  (Qg_Q3+Qg_Q4)*Fsw*VCC, (Qg_Q3+Qg_Q4)*Fsw*Vin)</f>
        <v>0.32999999999999996</v>
      </c>
      <c r="AQ9" s="360">
        <f t="shared" ref="AQ9:AQ40" si="28">(Vin-VCC)*Fsw*(Qg_Q3+Qg_Q4)+(RdsonDRT+RdsonDRT2)*Fsw*Qg_Q3*VCC/(RdsonDRT+2*Rgate3+RdsonDRT2)+(RdsonDRB+RdsonDRB2)*Fsw*Qg_Q4*VCC/(RdsonDRB+2*Rgate4+RdsonDRB2)</f>
        <v>1.2539999999999998</v>
      </c>
      <c r="AR9" s="360">
        <f t="shared" ref="AR9:AR40" si="29">(Qg_Q3+Qg_Q4)*Fsw*(Vin-VCC)</f>
        <v>1.0559999999999998</v>
      </c>
      <c r="AS9" s="360">
        <f>SUM(AO9:AP9)</f>
        <v>0.33073499999999995</v>
      </c>
      <c r="AT9" s="360">
        <f>SUM(U9,X9,AA9,AG9,AK9,AL9,AM9,AS9,AN9)</f>
        <v>1.241314745881003</v>
      </c>
      <c r="AU9">
        <f t="shared" ref="AU9:AU40" si="30">Vout2*J9</f>
        <v>0</v>
      </c>
      <c r="AV9" s="542">
        <f>AU9/(AU9+AT9)</f>
        <v>0</v>
      </c>
      <c r="AW9" s="551">
        <f t="shared" ref="AW9:AW40" si="31">ThetaJA_Q1*BC9</f>
        <v>30.368693143386295</v>
      </c>
      <c r="AX9" s="551">
        <f t="shared" ref="AX9:AX40" si="32">ThetaJA_Q2*BD9</f>
        <v>0.11826023872716702</v>
      </c>
      <c r="AZ9" s="4">
        <f>AV9*100</f>
        <v>0</v>
      </c>
      <c r="BA9" s="360">
        <f t="shared" ref="BA9:BA40" si="33">U9</f>
        <v>0.30004300006046886</v>
      </c>
      <c r="BB9" s="360">
        <f>AG9+AK9+AM9</f>
        <v>0.61048597441317765</v>
      </c>
      <c r="BC9" s="360">
        <f>AG9+AM9*0.66</f>
        <v>0.60737386286772588</v>
      </c>
      <c r="BD9" s="360">
        <f>AK9+AM9*0.33</f>
        <v>3.1121115454517639E-3</v>
      </c>
      <c r="BE9" s="360">
        <f>AN9</f>
        <v>3.3593684387335169E-5</v>
      </c>
      <c r="BJ9" s="18"/>
      <c r="BK9" s="18"/>
      <c r="BL9" s="18"/>
      <c r="BM9" s="19"/>
    </row>
    <row r="10" spans="1:65" x14ac:dyDescent="0.2">
      <c r="A10" s="495"/>
      <c r="B10" s="24"/>
      <c r="C10" s="16"/>
      <c r="D10" s="17"/>
      <c r="G10">
        <v>1</v>
      </c>
      <c r="H10" s="548">
        <f t="shared" si="0"/>
        <v>21</v>
      </c>
      <c r="I10" s="4">
        <f t="shared" si="1"/>
        <v>1</v>
      </c>
      <c r="J10" s="360">
        <f t="shared" ref="J10:J41" si="34">Iout2*G10/100</f>
        <v>0.05</v>
      </c>
      <c r="K10" s="4">
        <f t="shared" si="2"/>
        <v>5.2910052910052907E-2</v>
      </c>
      <c r="L10" s="4"/>
      <c r="M10" s="360">
        <f t="shared" si="3"/>
        <v>0.95240481856569215</v>
      </c>
      <c r="N10" s="4">
        <f t="shared" si="4"/>
        <v>0.31729366530516018</v>
      </c>
      <c r="O10" s="4">
        <f t="shared" ref="O10:O73" si="35">J10+N10/2</f>
        <v>0.20864683265258011</v>
      </c>
      <c r="P10" s="4">
        <f t="shared" ref="P10:P73" si="36">J10-N10/2</f>
        <v>-0.10864683265258009</v>
      </c>
      <c r="Q10" s="4">
        <f t="shared" si="5"/>
        <v>1.1358790658921076</v>
      </c>
      <c r="R10" s="4">
        <f t="shared" si="6"/>
        <v>0.10435327420305789</v>
      </c>
      <c r="S10" s="360">
        <f t="shared" si="7"/>
        <v>5.4448029184492934E-5</v>
      </c>
      <c r="T10" s="360">
        <f t="shared" si="8"/>
        <v>0.3</v>
      </c>
      <c r="U10" s="360">
        <f t="shared" si="9"/>
        <v>0.30005575502474496</v>
      </c>
      <c r="V10" s="4">
        <f t="shared" ref="V10:V73" si="37">N10/SQRT(12)</f>
        <v>9.1594791538048628E-2</v>
      </c>
      <c r="W10" s="360">
        <f t="shared" si="10"/>
        <v>1.6779211673797169E-5</v>
      </c>
      <c r="X10" s="360">
        <f t="shared" ref="X10:X73" si="38">W10</f>
        <v>1.6779211673797169E-5</v>
      </c>
      <c r="Y10" s="4">
        <f t="shared" si="11"/>
        <v>2.2217662508522199E-2</v>
      </c>
      <c r="Z10" s="360">
        <f t="shared" si="12"/>
        <v>4.9362452734259291E-7</v>
      </c>
      <c r="AA10" s="541">
        <f t="shared" ref="AA10:AA73" si="39">Z10</f>
        <v>4.9362452734259291E-7</v>
      </c>
      <c r="AB10" s="360">
        <f t="shared" si="13"/>
        <v>0.10183964390817213</v>
      </c>
      <c r="AC10" s="360">
        <f t="shared" si="14"/>
        <v>6.222787842805981E-5</v>
      </c>
      <c r="AD10" s="360">
        <f t="shared" si="15"/>
        <v>3.7341174295440573E-3</v>
      </c>
      <c r="AE10" s="360">
        <f t="shared" si="16"/>
        <v>0.60510188822548161</v>
      </c>
      <c r="AF10" s="360">
        <f t="shared" si="17"/>
        <v>2.1294779199905697E-3</v>
      </c>
      <c r="AG10" s="360">
        <f t="shared" si="18"/>
        <v>0.61103349099774884</v>
      </c>
      <c r="AH10" s="360">
        <f t="shared" si="19"/>
        <v>2.2766044134967453E-2</v>
      </c>
      <c r="AI10" s="360">
        <f t="shared" si="20"/>
        <v>1.295731913888215E-6</v>
      </c>
      <c r="AJ10" s="360">
        <f t="shared" si="21"/>
        <v>4.0894779199905701E-3</v>
      </c>
      <c r="AK10" s="360">
        <f t="shared" si="22"/>
        <v>4.090774712013928E-3</v>
      </c>
      <c r="AL10" s="360">
        <f t="shared" si="23"/>
        <v>1.9599999999999999E-3</v>
      </c>
      <c r="AM10" s="360">
        <f t="shared" si="24"/>
        <v>2.5199999999999997E-2</v>
      </c>
      <c r="AN10" s="360">
        <f t="shared" si="25"/>
        <v>4.3558423347594352E-5</v>
      </c>
      <c r="AO10" s="360">
        <f t="shared" si="26"/>
        <v>7.3499999999999998E-4</v>
      </c>
      <c r="AP10" s="360">
        <f t="shared" si="27"/>
        <v>0.32999999999999996</v>
      </c>
      <c r="AQ10" s="360">
        <f t="shared" si="28"/>
        <v>1.2539999999999998</v>
      </c>
      <c r="AR10" s="360">
        <f t="shared" si="29"/>
        <v>1.0559999999999998</v>
      </c>
      <c r="AS10" s="360">
        <f t="shared" ref="AS10" si="40">SUM(AO10:AP10)</f>
        <v>0.33073499999999995</v>
      </c>
      <c r="AT10" s="360">
        <f t="shared" ref="AT10:AT73" si="41">SUM(U10,X10,AA10,AG10,AK10,AL10,AM10,AS10,AN10)</f>
        <v>1.2731358519940563</v>
      </c>
      <c r="AU10">
        <f t="shared" si="30"/>
        <v>1</v>
      </c>
      <c r="AV10" s="542">
        <f t="shared" ref="AV10:AV73" si="42">AU10/(AU10+AT10)</f>
        <v>0.43992091327175753</v>
      </c>
      <c r="AW10" s="551">
        <f t="shared" si="31"/>
        <v>31.383274549887442</v>
      </c>
      <c r="AX10" s="551">
        <f t="shared" si="32"/>
        <v>0.4714574390565292</v>
      </c>
      <c r="AY10" s="9"/>
      <c r="AZ10" s="4">
        <f t="shared" ref="AZ10:AZ73" si="43">AV10*100</f>
        <v>43.99209132717575</v>
      </c>
      <c r="BA10" s="360">
        <f t="shared" si="33"/>
        <v>0.30005575502474496</v>
      </c>
      <c r="BB10" s="360">
        <f t="shared" ref="BB10:BB73" si="44">AG10+AK10+AM10</f>
        <v>0.64032426570976275</v>
      </c>
      <c r="BC10" s="360">
        <f t="shared" ref="BC10:BC73" si="45">AG10+AM10*0.66</f>
        <v>0.62766549099774882</v>
      </c>
      <c r="BD10" s="360">
        <f t="shared" ref="BD10:BD73" si="46">AK10+AM10*0.33</f>
        <v>1.2406774712013926E-2</v>
      </c>
      <c r="BE10" s="360">
        <f t="shared" ref="BE10:BE73" si="47">AN10</f>
        <v>4.3558423347594352E-5</v>
      </c>
      <c r="BJ10" s="18"/>
      <c r="BK10" s="18"/>
      <c r="BL10" s="18"/>
      <c r="BM10" s="19"/>
    </row>
    <row r="11" spans="1:65" x14ac:dyDescent="0.2">
      <c r="A11" s="20" t="s">
        <v>3</v>
      </c>
      <c r="B11" s="5">
        <f>Vin</f>
        <v>21</v>
      </c>
      <c r="C11" s="440" t="s">
        <v>0</v>
      </c>
      <c r="D11" s="21" t="s">
        <v>3</v>
      </c>
      <c r="G11">
        <v>2</v>
      </c>
      <c r="H11" s="548">
        <f t="shared" si="0"/>
        <v>21</v>
      </c>
      <c r="I11" s="4">
        <f t="shared" si="1"/>
        <v>1</v>
      </c>
      <c r="J11" s="360">
        <f t="shared" si="34"/>
        <v>0.1</v>
      </c>
      <c r="K11" s="4">
        <f t="shared" si="2"/>
        <v>0.10582010582010581</v>
      </c>
      <c r="L11" s="4"/>
      <c r="M11" s="360">
        <f t="shared" si="3"/>
        <v>0.95242868469360775</v>
      </c>
      <c r="N11" s="4">
        <f t="shared" si="4"/>
        <v>0.31712700438014796</v>
      </c>
      <c r="O11" s="4">
        <f t="shared" si="35"/>
        <v>0.25856350219007396</v>
      </c>
      <c r="P11" s="4">
        <f t="shared" si="36"/>
        <v>-5.8563502190073974E-2</v>
      </c>
      <c r="Q11" s="4">
        <f t="shared" si="5"/>
        <v>0.61226871082147394</v>
      </c>
      <c r="R11" s="4">
        <f t="shared" si="6"/>
        <v>0.13557578966120956</v>
      </c>
      <c r="S11" s="360">
        <f t="shared" si="7"/>
        <v>9.1903973711302686E-5</v>
      </c>
      <c r="T11" s="360">
        <f t="shared" si="8"/>
        <v>0.3</v>
      </c>
      <c r="U11" s="360">
        <f t="shared" si="9"/>
        <v>0.30009411036100964</v>
      </c>
      <c r="V11" s="4">
        <f t="shared" si="37"/>
        <v>9.1546680673089034E-2</v>
      </c>
      <c r="W11" s="360">
        <f t="shared" si="10"/>
        <v>1.6761589484521066E-5</v>
      </c>
      <c r="X11" s="360">
        <f t="shared" si="38"/>
        <v>1.6761589484521066E-5</v>
      </c>
      <c r="Y11" s="4">
        <f t="shared" si="11"/>
        <v>2.8858314081139723E-2</v>
      </c>
      <c r="Z11" s="360">
        <f t="shared" si="12"/>
        <v>8.3280229160570727E-7</v>
      </c>
      <c r="AA11" s="541">
        <f t="shared" si="39"/>
        <v>8.3280229160570727E-7</v>
      </c>
      <c r="AB11" s="360">
        <f t="shared" si="13"/>
        <v>0.13231173855706979</v>
      </c>
      <c r="AC11" s="360">
        <f t="shared" si="14"/>
        <v>1.0503837695996634E-4</v>
      </c>
      <c r="AD11" s="360">
        <f t="shared" si="15"/>
        <v>7.4682348590881147E-3</v>
      </c>
      <c r="AE11" s="360">
        <f t="shared" si="16"/>
        <v>0.60517807130364454</v>
      </c>
      <c r="AF11" s="360">
        <f t="shared" si="17"/>
        <v>1.1478446429254497E-3</v>
      </c>
      <c r="AG11" s="360">
        <f t="shared" si="18"/>
        <v>0.61390899075122451</v>
      </c>
      <c r="AH11" s="360">
        <f t="shared" si="19"/>
        <v>2.9570231352935891E-2</v>
      </c>
      <c r="AI11" s="360">
        <f t="shared" si="20"/>
        <v>2.1859964556653819E-6</v>
      </c>
      <c r="AJ11" s="360">
        <f t="shared" si="21"/>
        <v>5.0678446429254492E-3</v>
      </c>
      <c r="AK11" s="360">
        <f t="shared" si="22"/>
        <v>5.0700328559958848E-3</v>
      </c>
      <c r="AL11" s="360">
        <f t="shared" si="23"/>
        <v>3.9199999999999999E-3</v>
      </c>
      <c r="AM11" s="360">
        <f t="shared" si="24"/>
        <v>5.0399999999999993E-2</v>
      </c>
      <c r="AN11" s="360">
        <f t="shared" si="25"/>
        <v>7.3523178969042149E-5</v>
      </c>
      <c r="AO11" s="360">
        <f t="shared" si="26"/>
        <v>7.3499999999999998E-4</v>
      </c>
      <c r="AP11" s="360">
        <f t="shared" si="27"/>
        <v>0.32999999999999996</v>
      </c>
      <c r="AQ11" s="360">
        <f t="shared" si="28"/>
        <v>1.2539999999999998</v>
      </c>
      <c r="AR11" s="360">
        <f t="shared" si="29"/>
        <v>1.0559999999999998</v>
      </c>
      <c r="AS11" s="360">
        <f t="shared" ref="AS11:AS74" si="48">SUM(AO11:AP11)</f>
        <v>0.33073499999999995</v>
      </c>
      <c r="AT11" s="360">
        <f t="shared" si="41"/>
        <v>1.3042192515389752</v>
      </c>
      <c r="AU11">
        <f t="shared" si="30"/>
        <v>2</v>
      </c>
      <c r="AV11" s="542">
        <f t="shared" si="42"/>
        <v>0.60528671003550349</v>
      </c>
      <c r="AW11" s="551">
        <f t="shared" si="31"/>
        <v>32.35864953756122</v>
      </c>
      <c r="AX11" s="551">
        <f t="shared" si="32"/>
        <v>0.82467724852784352</v>
      </c>
      <c r="AY11" s="9"/>
      <c r="AZ11" s="4">
        <f t="shared" si="43"/>
        <v>60.52867100355035</v>
      </c>
      <c r="BA11" s="360">
        <f t="shared" si="33"/>
        <v>0.30009411036100964</v>
      </c>
      <c r="BB11" s="360">
        <f t="shared" si="44"/>
        <v>0.66937902360722035</v>
      </c>
      <c r="BC11" s="360">
        <f t="shared" si="45"/>
        <v>0.64717299075122448</v>
      </c>
      <c r="BD11" s="360">
        <f t="shared" si="46"/>
        <v>2.1702032855995881E-2</v>
      </c>
      <c r="BE11" s="360">
        <f t="shared" si="47"/>
        <v>7.3523178969042149E-5</v>
      </c>
      <c r="BJ11" s="18"/>
      <c r="BK11" s="18"/>
      <c r="BL11" s="18"/>
      <c r="BM11" s="19"/>
    </row>
    <row r="12" spans="1:65" x14ac:dyDescent="0.2">
      <c r="A12" s="22" t="s">
        <v>4</v>
      </c>
      <c r="B12" s="5">
        <f>Vout2</f>
        <v>20</v>
      </c>
      <c r="C12" s="440" t="s">
        <v>0</v>
      </c>
      <c r="D12" s="21" t="s">
        <v>4</v>
      </c>
      <c r="G12">
        <v>3</v>
      </c>
      <c r="H12" s="548">
        <f t="shared" si="0"/>
        <v>21</v>
      </c>
      <c r="I12" s="4">
        <f t="shared" si="1"/>
        <v>1</v>
      </c>
      <c r="J12" s="360">
        <f t="shared" si="34"/>
        <v>0.15</v>
      </c>
      <c r="K12" s="4">
        <f t="shared" si="2"/>
        <v>0.15873015873015872</v>
      </c>
      <c r="L12" s="4"/>
      <c r="M12" s="360">
        <f t="shared" si="3"/>
        <v>0.9524525507646997</v>
      </c>
      <c r="N12" s="4">
        <f t="shared" si="4"/>
        <v>0.31696033468531221</v>
      </c>
      <c r="O12" s="4">
        <f t="shared" si="35"/>
        <v>0.3084801673426561</v>
      </c>
      <c r="P12" s="4">
        <f t="shared" si="36"/>
        <v>-8.4801673426561086E-3</v>
      </c>
      <c r="Q12" s="4">
        <f t="shared" si="5"/>
        <v>8.8658309907539048E-2</v>
      </c>
      <c r="R12" s="4">
        <f t="shared" si="6"/>
        <v>0.17570426236620468</v>
      </c>
      <c r="S12" s="360">
        <f t="shared" si="7"/>
        <v>1.5435993906826045E-4</v>
      </c>
      <c r="T12" s="360">
        <f t="shared" si="8"/>
        <v>0.3</v>
      </c>
      <c r="U12" s="360">
        <f t="shared" si="9"/>
        <v>0.30015806652953708</v>
      </c>
      <c r="V12" s="4">
        <f t="shared" si="37"/>
        <v>9.1498567276499451E-2</v>
      </c>
      <c r="W12" s="360">
        <f t="shared" si="10"/>
        <v>1.6743975627304194E-5</v>
      </c>
      <c r="X12" s="360">
        <f t="shared" si="38"/>
        <v>1.6743975627304194E-5</v>
      </c>
      <c r="Y12" s="4">
        <f t="shared" si="11"/>
        <v>3.7391043317771121E-2</v>
      </c>
      <c r="Z12" s="360">
        <f t="shared" si="12"/>
        <v>1.3980901203914365E-6</v>
      </c>
      <c r="AA12" s="541">
        <f t="shared" si="39"/>
        <v>1.3980901203914365E-6</v>
      </c>
      <c r="AB12" s="360">
        <f t="shared" si="13"/>
        <v>0.17147624774379003</v>
      </c>
      <c r="AC12" s="360">
        <f t="shared" si="14"/>
        <v>1.7642462124173793E-4</v>
      </c>
      <c r="AD12" s="360">
        <f t="shared" si="15"/>
        <v>1.1202352288632172E-2</v>
      </c>
      <c r="AE12" s="360">
        <f t="shared" si="16"/>
        <v>0.6044388792324864</v>
      </c>
      <c r="AF12" s="360">
        <f t="shared" si="17"/>
        <v>1.6621127991605972E-4</v>
      </c>
      <c r="AG12" s="360">
        <f t="shared" si="18"/>
        <v>0.61600038642277499</v>
      </c>
      <c r="AH12" s="360">
        <f t="shared" si="19"/>
        <v>3.8312977871243999E-2</v>
      </c>
      <c r="AI12" s="360">
        <f t="shared" si="20"/>
        <v>3.6697106834060808E-6</v>
      </c>
      <c r="AJ12" s="360">
        <f t="shared" si="21"/>
        <v>6.0462112799160592E-3</v>
      </c>
      <c r="AK12" s="360">
        <f t="shared" si="22"/>
        <v>6.0498854308653049E-3</v>
      </c>
      <c r="AL12" s="360">
        <f t="shared" si="23"/>
        <v>5.8799999999999998E-3</v>
      </c>
      <c r="AM12" s="360">
        <f t="shared" si="24"/>
        <v>7.5600000000000001E-2</v>
      </c>
      <c r="AN12" s="360">
        <f t="shared" si="25"/>
        <v>1.2348795125460837E-4</v>
      </c>
      <c r="AO12" s="360">
        <f t="shared" si="26"/>
        <v>7.3499999999999998E-4</v>
      </c>
      <c r="AP12" s="360">
        <f t="shared" si="27"/>
        <v>0.32999999999999996</v>
      </c>
      <c r="AQ12" s="360">
        <f t="shared" si="28"/>
        <v>1.2539999999999998</v>
      </c>
      <c r="AR12" s="360">
        <f t="shared" si="29"/>
        <v>1.0559999999999998</v>
      </c>
      <c r="AS12" s="360">
        <f t="shared" si="48"/>
        <v>0.33073499999999995</v>
      </c>
      <c r="AT12" s="360">
        <f t="shared" si="41"/>
        <v>1.3345649684001797</v>
      </c>
      <c r="AU12">
        <f t="shared" si="30"/>
        <v>3</v>
      </c>
      <c r="AV12" s="542">
        <f t="shared" si="42"/>
        <v>0.69211097811904598</v>
      </c>
      <c r="AW12" s="551">
        <f t="shared" si="31"/>
        <v>33.294819321138753</v>
      </c>
      <c r="AX12" s="551">
        <f t="shared" si="32"/>
        <v>1.1779196463728816</v>
      </c>
      <c r="AY12" s="9"/>
      <c r="AZ12" s="4">
        <f t="shared" si="43"/>
        <v>69.211097811904594</v>
      </c>
      <c r="BA12" s="360">
        <f t="shared" si="33"/>
        <v>0.30015806652953708</v>
      </c>
      <c r="BB12" s="360">
        <f t="shared" si="44"/>
        <v>0.69765027185364026</v>
      </c>
      <c r="BC12" s="360">
        <f t="shared" si="45"/>
        <v>0.66589638642277504</v>
      </c>
      <c r="BD12" s="360">
        <f t="shared" si="46"/>
        <v>3.0997885430865305E-2</v>
      </c>
      <c r="BE12" s="360">
        <f t="shared" si="47"/>
        <v>1.2348795125460837E-4</v>
      </c>
      <c r="BJ12" s="18"/>
      <c r="BK12" s="18"/>
      <c r="BL12" s="18"/>
      <c r="BM12" s="19"/>
    </row>
    <row r="13" spans="1:65" x14ac:dyDescent="0.2">
      <c r="A13" s="22" t="s">
        <v>6</v>
      </c>
      <c r="B13" s="5">
        <f>Fsw/1000</f>
        <v>2000</v>
      </c>
      <c r="C13" s="440" t="s">
        <v>2</v>
      </c>
      <c r="D13" s="21" t="s">
        <v>94</v>
      </c>
      <c r="G13">
        <v>4</v>
      </c>
      <c r="H13" s="548">
        <f t="shared" si="0"/>
        <v>21</v>
      </c>
      <c r="I13" s="4">
        <f t="shared" si="1"/>
        <v>1</v>
      </c>
      <c r="J13" s="360">
        <f t="shared" si="34"/>
        <v>0.2</v>
      </c>
      <c r="K13" s="4">
        <f t="shared" si="2"/>
        <v>0.21164021164021163</v>
      </c>
      <c r="L13" s="4"/>
      <c r="M13" s="360">
        <f t="shared" si="3"/>
        <v>0.95247641677896766</v>
      </c>
      <c r="N13" s="4">
        <f t="shared" si="4"/>
        <v>0.31679365622068517</v>
      </c>
      <c r="O13" s="4">
        <f t="shared" si="35"/>
        <v>0.35839682811034257</v>
      </c>
      <c r="P13" s="4">
        <f t="shared" si="36"/>
        <v>4.1603171889657425E-2</v>
      </c>
      <c r="Q13" s="4">
        <f t="shared" si="5"/>
        <v>0</v>
      </c>
      <c r="R13" s="4">
        <f t="shared" si="6"/>
        <v>0.21991631374640175</v>
      </c>
      <c r="S13" s="360">
        <f t="shared" si="7"/>
        <v>2.4181592525902908E-4</v>
      </c>
      <c r="T13" s="360">
        <f t="shared" si="8"/>
        <v>0.3</v>
      </c>
      <c r="U13" s="360">
        <f t="shared" si="9"/>
        <v>0.30024762429782509</v>
      </c>
      <c r="V13" s="4">
        <f t="shared" si="37"/>
        <v>9.1450451348289177E-2</v>
      </c>
      <c r="W13" s="360">
        <f t="shared" si="10"/>
        <v>1.6726370103611612E-5</v>
      </c>
      <c r="X13" s="360">
        <f t="shared" si="38"/>
        <v>1.6726370103611612E-5</v>
      </c>
      <c r="Y13" s="4">
        <f t="shared" si="11"/>
        <v>4.678850321716433E-2</v>
      </c>
      <c r="Z13" s="360">
        <f t="shared" si="12"/>
        <v>2.1891640333025966E-6</v>
      </c>
      <c r="AA13" s="541">
        <f t="shared" si="39"/>
        <v>2.1891640333025966E-6</v>
      </c>
      <c r="AB13" s="360">
        <f t="shared" si="13"/>
        <v>0.21462710267382853</v>
      </c>
      <c r="AC13" s="360">
        <f t="shared" si="14"/>
        <v>2.7638875921297279E-4</v>
      </c>
      <c r="AD13" s="360">
        <f t="shared" si="15"/>
        <v>1.4936469718176229E-2</v>
      </c>
      <c r="AE13" s="360">
        <f t="shared" si="16"/>
        <v>0.6042329999999998</v>
      </c>
      <c r="AF13" s="360">
        <f t="shared" si="17"/>
        <v>0</v>
      </c>
      <c r="AG13" s="360">
        <f t="shared" si="18"/>
        <v>0.61947188316729263</v>
      </c>
      <c r="AH13" s="360">
        <f t="shared" si="19"/>
        <v>4.794154617493767E-2</v>
      </c>
      <c r="AI13" s="360">
        <f t="shared" si="20"/>
        <v>5.7459796241092024E-6</v>
      </c>
      <c r="AJ13" s="360">
        <f t="shared" si="21"/>
        <v>7.8399999999999997E-3</v>
      </c>
      <c r="AK13" s="360">
        <f t="shared" si="22"/>
        <v>7.8457549959337781E-3</v>
      </c>
      <c r="AL13" s="360">
        <f t="shared" si="23"/>
        <v>7.8399999999999997E-3</v>
      </c>
      <c r="AM13" s="360">
        <f t="shared" si="24"/>
        <v>0.10079999999999999</v>
      </c>
      <c r="AN13" s="360">
        <f t="shared" si="25"/>
        <v>1.9345274020722325E-4</v>
      </c>
      <c r="AO13" s="360">
        <f t="shared" si="26"/>
        <v>7.3499999999999998E-4</v>
      </c>
      <c r="AP13" s="360">
        <f t="shared" si="27"/>
        <v>0.32999999999999996</v>
      </c>
      <c r="AQ13" s="360">
        <f t="shared" si="28"/>
        <v>1.2539999999999998</v>
      </c>
      <c r="AR13" s="360">
        <f t="shared" si="29"/>
        <v>1.0559999999999998</v>
      </c>
      <c r="AS13" s="360">
        <f t="shared" si="48"/>
        <v>0.33073499999999995</v>
      </c>
      <c r="AT13" s="360">
        <f t="shared" si="41"/>
        <v>1.3671526307353956</v>
      </c>
      <c r="AU13">
        <f t="shared" si="30"/>
        <v>4</v>
      </c>
      <c r="AV13" s="542">
        <f t="shared" si="42"/>
        <v>0.74527412861220022</v>
      </c>
      <c r="AW13" s="551">
        <f t="shared" si="31"/>
        <v>34.299994158364633</v>
      </c>
      <c r="AX13" s="551">
        <f t="shared" si="32"/>
        <v>1.5621706898454832</v>
      </c>
      <c r="AY13" s="9"/>
      <c r="AZ13" s="4">
        <f t="shared" si="43"/>
        <v>74.527412861220029</v>
      </c>
      <c r="BA13" s="360">
        <f t="shared" si="33"/>
        <v>0.30024762429782509</v>
      </c>
      <c r="BB13" s="360">
        <f t="shared" si="44"/>
        <v>0.72811763816322639</v>
      </c>
      <c r="BC13" s="360">
        <f t="shared" si="45"/>
        <v>0.68599988316729266</v>
      </c>
      <c r="BD13" s="360">
        <f t="shared" si="46"/>
        <v>4.1109754995933771E-2</v>
      </c>
      <c r="BE13" s="360">
        <f t="shared" si="47"/>
        <v>1.9345274020722325E-4</v>
      </c>
      <c r="BJ13" s="18"/>
      <c r="BK13" s="18"/>
      <c r="BL13" s="18"/>
      <c r="BM13" s="19"/>
    </row>
    <row r="14" spans="1:65" x14ac:dyDescent="0.2">
      <c r="A14" s="22" t="s">
        <v>5</v>
      </c>
      <c r="B14" s="5">
        <f>Iout2</f>
        <v>5</v>
      </c>
      <c r="C14" s="440" t="s">
        <v>1</v>
      </c>
      <c r="D14" s="21" t="s">
        <v>95</v>
      </c>
      <c r="G14">
        <v>5</v>
      </c>
      <c r="H14" s="548">
        <f t="shared" si="0"/>
        <v>21</v>
      </c>
      <c r="I14" s="4">
        <f t="shared" si="1"/>
        <v>1</v>
      </c>
      <c r="J14" s="360">
        <f t="shared" si="34"/>
        <v>0.25</v>
      </c>
      <c r="K14" s="4">
        <f t="shared" si="2"/>
        <v>0.26455026455026454</v>
      </c>
      <c r="L14" s="4"/>
      <c r="M14" s="360">
        <f t="shared" si="3"/>
        <v>0.95250028273641218</v>
      </c>
      <c r="N14" s="4">
        <f t="shared" si="4"/>
        <v>0.316626968986296</v>
      </c>
      <c r="O14" s="4">
        <f t="shared" si="35"/>
        <v>0.40831348449314797</v>
      </c>
      <c r="P14" s="4">
        <f t="shared" si="36"/>
        <v>9.1686515506852001E-2</v>
      </c>
      <c r="Q14" s="4">
        <f t="shared" si="5"/>
        <v>0</v>
      </c>
      <c r="R14" s="4">
        <f t="shared" si="6"/>
        <v>0.26618487270589603</v>
      </c>
      <c r="S14" s="360">
        <f t="shared" si="7"/>
        <v>3.5427193228727036E-4</v>
      </c>
      <c r="T14" s="360">
        <f t="shared" si="8"/>
        <v>0.3</v>
      </c>
      <c r="U14" s="360">
        <f t="shared" si="9"/>
        <v>0.30036278474061823</v>
      </c>
      <c r="V14" s="4">
        <f t="shared" si="37"/>
        <v>9.140233288846665E-2</v>
      </c>
      <c r="W14" s="360">
        <f t="shared" si="10"/>
        <v>1.6708772914908145E-5</v>
      </c>
      <c r="X14" s="360">
        <f t="shared" si="38"/>
        <v>1.6708772914908145E-5</v>
      </c>
      <c r="Y14" s="4">
        <f t="shared" si="11"/>
        <v>5.661890159045551E-2</v>
      </c>
      <c r="Z14" s="360">
        <f t="shared" si="12"/>
        <v>3.2057000173096854E-6</v>
      </c>
      <c r="AA14" s="541">
        <f t="shared" si="39"/>
        <v>3.2057000173096854E-6</v>
      </c>
      <c r="AB14" s="360">
        <f t="shared" si="13"/>
        <v>0.25978611035588495</v>
      </c>
      <c r="AC14" s="360">
        <f t="shared" si="14"/>
        <v>4.0493293880304018E-4</v>
      </c>
      <c r="AD14" s="360">
        <f t="shared" si="15"/>
        <v>1.8670587147720286E-2</v>
      </c>
      <c r="AE14" s="360">
        <f t="shared" si="16"/>
        <v>0.6042329999999998</v>
      </c>
      <c r="AF14" s="360">
        <f t="shared" si="17"/>
        <v>0</v>
      </c>
      <c r="AG14" s="360">
        <f t="shared" si="18"/>
        <v>0.62334688696692175</v>
      </c>
      <c r="AH14" s="360">
        <f t="shared" si="19"/>
        <v>5.8013475362316075E-2</v>
      </c>
      <c r="AI14" s="360">
        <f t="shared" si="20"/>
        <v>8.4139083090351353E-6</v>
      </c>
      <c r="AJ14" s="360">
        <f t="shared" si="21"/>
        <v>9.7999999999999997E-3</v>
      </c>
      <c r="AK14" s="360">
        <f t="shared" si="22"/>
        <v>9.8084304137558646E-3</v>
      </c>
      <c r="AL14" s="360">
        <f t="shared" si="23"/>
        <v>9.7999999999999997E-3</v>
      </c>
      <c r="AM14" s="360">
        <f t="shared" si="24"/>
        <v>0.12599999999999997</v>
      </c>
      <c r="AN14" s="360">
        <f t="shared" si="25"/>
        <v>2.834175458298163E-4</v>
      </c>
      <c r="AO14" s="360">
        <f t="shared" si="26"/>
        <v>7.3499999999999998E-4</v>
      </c>
      <c r="AP14" s="360">
        <f t="shared" si="27"/>
        <v>0.32999999999999996</v>
      </c>
      <c r="AQ14" s="360">
        <f t="shared" si="28"/>
        <v>1.2539999999999998</v>
      </c>
      <c r="AR14" s="360">
        <f t="shared" si="29"/>
        <v>1.0559999999999998</v>
      </c>
      <c r="AS14" s="360">
        <f t="shared" si="48"/>
        <v>0.33073499999999995</v>
      </c>
      <c r="AT14" s="360">
        <f t="shared" si="41"/>
        <v>1.4003564341400578</v>
      </c>
      <c r="AU14">
        <f t="shared" si="30"/>
        <v>5</v>
      </c>
      <c r="AV14" s="542">
        <f t="shared" si="42"/>
        <v>0.78120649239619933</v>
      </c>
      <c r="AW14" s="551">
        <f t="shared" si="31"/>
        <v>35.325344348346086</v>
      </c>
      <c r="AX14" s="551">
        <f t="shared" si="32"/>
        <v>1.9527603557227224</v>
      </c>
      <c r="AY14" s="9"/>
      <c r="AZ14" s="4">
        <f t="shared" si="43"/>
        <v>78.120649239619937</v>
      </c>
      <c r="BA14" s="360">
        <f t="shared" si="33"/>
        <v>0.30036278474061823</v>
      </c>
      <c r="BB14" s="360">
        <f t="shared" si="44"/>
        <v>0.75915531738067765</v>
      </c>
      <c r="BC14" s="360">
        <f t="shared" si="45"/>
        <v>0.70650688696692177</v>
      </c>
      <c r="BD14" s="360">
        <f t="shared" si="46"/>
        <v>5.1388430413755855E-2</v>
      </c>
      <c r="BE14" s="360">
        <f t="shared" si="47"/>
        <v>2.834175458298163E-4</v>
      </c>
      <c r="BJ14" s="18"/>
      <c r="BK14" s="18"/>
      <c r="BL14" s="18"/>
      <c r="BM14" s="19"/>
    </row>
    <row r="15" spans="1:65" x14ac:dyDescent="0.2">
      <c r="A15" s="23" t="s">
        <v>83</v>
      </c>
      <c r="B15" s="5">
        <f>Ta</f>
        <v>25</v>
      </c>
      <c r="C15" s="440" t="s">
        <v>465</v>
      </c>
      <c r="D15" s="21" t="s">
        <v>96</v>
      </c>
      <c r="G15">
        <v>6</v>
      </c>
      <c r="H15" s="548">
        <f t="shared" si="0"/>
        <v>21</v>
      </c>
      <c r="I15" s="4">
        <f t="shared" si="1"/>
        <v>1</v>
      </c>
      <c r="J15" s="360">
        <f t="shared" si="34"/>
        <v>0.3</v>
      </c>
      <c r="K15" s="4">
        <f t="shared" si="2"/>
        <v>0.31746031746031744</v>
      </c>
      <c r="L15" s="4"/>
      <c r="M15" s="360">
        <f t="shared" si="3"/>
        <v>0.95252414863703361</v>
      </c>
      <c r="N15" s="4">
        <f t="shared" si="4"/>
        <v>0.31646027298217733</v>
      </c>
      <c r="O15" s="4">
        <f t="shared" si="35"/>
        <v>0.45823013649108868</v>
      </c>
      <c r="P15" s="4">
        <f t="shared" si="36"/>
        <v>0.14176986350891133</v>
      </c>
      <c r="Q15" s="4">
        <f t="shared" si="5"/>
        <v>0</v>
      </c>
      <c r="R15" s="4">
        <f t="shared" si="6"/>
        <v>0.3136010077013936</v>
      </c>
      <c r="S15" s="360">
        <f t="shared" si="7"/>
        <v>4.9172796015664762E-4</v>
      </c>
      <c r="T15" s="360">
        <f t="shared" si="8"/>
        <v>0.3</v>
      </c>
      <c r="U15" s="360">
        <f t="shared" si="9"/>
        <v>0.30050354923993966</v>
      </c>
      <c r="V15" s="4">
        <f t="shared" si="37"/>
        <v>9.1354211897041265E-2</v>
      </c>
      <c r="W15" s="360">
        <f t="shared" si="10"/>
        <v>1.6691184062659032E-5</v>
      </c>
      <c r="X15" s="360">
        <f t="shared" si="38"/>
        <v>1.6691184062659032E-5</v>
      </c>
      <c r="Y15" s="4">
        <f t="shared" si="11"/>
        <v>6.6688634914438827E-2</v>
      </c>
      <c r="Z15" s="360">
        <f t="shared" si="12"/>
        <v>4.4473740267513093E-6</v>
      </c>
      <c r="AA15" s="541">
        <f t="shared" si="39"/>
        <v>4.4473740267513093E-6</v>
      </c>
      <c r="AB15" s="360">
        <f t="shared" si="13"/>
        <v>0.30606625315746133</v>
      </c>
      <c r="AC15" s="360">
        <f t="shared" si="14"/>
        <v>5.6205930793108325E-4</v>
      </c>
      <c r="AD15" s="360">
        <f t="shared" si="15"/>
        <v>2.2404704577264345E-2</v>
      </c>
      <c r="AE15" s="360">
        <f t="shared" si="16"/>
        <v>0.6042329999999998</v>
      </c>
      <c r="AF15" s="360">
        <f t="shared" si="17"/>
        <v>0</v>
      </c>
      <c r="AG15" s="360">
        <f t="shared" si="18"/>
        <v>0.62725335203010613</v>
      </c>
      <c r="AH15" s="360">
        <f t="shared" si="19"/>
        <v>6.8330379111214742E-2</v>
      </c>
      <c r="AI15" s="360">
        <f t="shared" si="20"/>
        <v>1.1672601773705832E-5</v>
      </c>
      <c r="AJ15" s="360">
        <f t="shared" si="21"/>
        <v>1.176E-2</v>
      </c>
      <c r="AK15" s="360">
        <f t="shared" si="22"/>
        <v>1.1771700083047159E-2</v>
      </c>
      <c r="AL15" s="360">
        <f t="shared" si="23"/>
        <v>1.176E-2</v>
      </c>
      <c r="AM15" s="360">
        <f t="shared" si="24"/>
        <v>0.1512</v>
      </c>
      <c r="AN15" s="360">
        <f t="shared" si="25"/>
        <v>3.9338236812531816E-4</v>
      </c>
      <c r="AO15" s="360">
        <f t="shared" si="26"/>
        <v>7.3499999999999998E-4</v>
      </c>
      <c r="AP15" s="360">
        <f t="shared" si="27"/>
        <v>0.32999999999999996</v>
      </c>
      <c r="AQ15" s="360">
        <f t="shared" si="28"/>
        <v>1.2539999999999998</v>
      </c>
      <c r="AR15" s="360">
        <f t="shared" si="29"/>
        <v>1.0559999999999998</v>
      </c>
      <c r="AS15" s="360">
        <f t="shared" si="48"/>
        <v>0.33073499999999995</v>
      </c>
      <c r="AT15" s="360">
        <f t="shared" si="41"/>
        <v>1.4336381222793078</v>
      </c>
      <c r="AU15">
        <f t="shared" si="30"/>
        <v>6</v>
      </c>
      <c r="AV15" s="542">
        <f t="shared" si="42"/>
        <v>0.8071417926596991</v>
      </c>
      <c r="AW15" s="551">
        <f t="shared" si="31"/>
        <v>36.352267601505304</v>
      </c>
      <c r="AX15" s="551">
        <f t="shared" si="32"/>
        <v>2.343372603155792</v>
      </c>
      <c r="AY15" s="9"/>
      <c r="AZ15" s="4">
        <f t="shared" si="43"/>
        <v>80.714179265969904</v>
      </c>
      <c r="BA15" s="360">
        <f t="shared" si="33"/>
        <v>0.30050354923993966</v>
      </c>
      <c r="BB15" s="360">
        <f t="shared" si="44"/>
        <v>0.7902250521131533</v>
      </c>
      <c r="BC15" s="360">
        <f t="shared" si="45"/>
        <v>0.72704535203010612</v>
      </c>
      <c r="BD15" s="360">
        <f t="shared" si="46"/>
        <v>6.1667700083047158E-2</v>
      </c>
      <c r="BE15" s="360">
        <f t="shared" si="47"/>
        <v>3.9338236812531816E-4</v>
      </c>
      <c r="BJ15" s="18"/>
      <c r="BK15" s="18"/>
      <c r="BL15" s="18"/>
      <c r="BM15" s="19"/>
    </row>
    <row r="16" spans="1:65" x14ac:dyDescent="0.2">
      <c r="A16" s="448" t="s">
        <v>476</v>
      </c>
      <c r="B16" s="5">
        <f>VCC</f>
        <v>5</v>
      </c>
      <c r="C16" s="440" t="s">
        <v>0</v>
      </c>
      <c r="D16" s="440" t="s">
        <v>475</v>
      </c>
      <c r="G16">
        <v>7</v>
      </c>
      <c r="H16" s="548">
        <f t="shared" si="0"/>
        <v>21</v>
      </c>
      <c r="I16" s="4">
        <f t="shared" si="1"/>
        <v>1</v>
      </c>
      <c r="J16" s="360">
        <f t="shared" si="34"/>
        <v>0.35</v>
      </c>
      <c r="K16" s="4">
        <f t="shared" si="2"/>
        <v>0.37037037037037035</v>
      </c>
      <c r="L16" s="4"/>
      <c r="M16" s="360">
        <f t="shared" si="3"/>
        <v>0.95254801448083182</v>
      </c>
      <c r="N16" s="4">
        <f t="shared" si="4"/>
        <v>0.31629356820836024</v>
      </c>
      <c r="O16" s="4">
        <f t="shared" si="35"/>
        <v>0.50814678410418013</v>
      </c>
      <c r="P16" s="4">
        <f t="shared" si="36"/>
        <v>0.19185321589581986</v>
      </c>
      <c r="Q16" s="4">
        <f t="shared" si="5"/>
        <v>0</v>
      </c>
      <c r="R16" s="4">
        <f t="shared" si="6"/>
        <v>0.36171370139125875</v>
      </c>
      <c r="S16" s="360">
        <f t="shared" si="7"/>
        <v>6.541840088708236E-4</v>
      </c>
      <c r="T16" s="360">
        <f t="shared" si="8"/>
        <v>0.3</v>
      </c>
      <c r="U16" s="360">
        <f t="shared" si="9"/>
        <v>0.30066991948513289</v>
      </c>
      <c r="V16" s="4">
        <f t="shared" si="37"/>
        <v>9.1306088374022029E-2</v>
      </c>
      <c r="W16" s="360">
        <f t="shared" si="10"/>
        <v>1.6673603548329442E-5</v>
      </c>
      <c r="X16" s="360">
        <f t="shared" si="38"/>
        <v>1.6673603548329442E-5</v>
      </c>
      <c r="Y16" s="4">
        <f t="shared" si="11"/>
        <v>7.6901638365737129E-2</v>
      </c>
      <c r="Z16" s="360">
        <f t="shared" si="12"/>
        <v>5.9138619833346128E-6</v>
      </c>
      <c r="AA16" s="541">
        <f t="shared" si="39"/>
        <v>5.9138619833346128E-6</v>
      </c>
      <c r="AB16" s="360">
        <f t="shared" si="13"/>
        <v>0.35302738668692935</v>
      </c>
      <c r="AC16" s="360">
        <f t="shared" si="14"/>
        <v>7.4777001450601643E-4</v>
      </c>
      <c r="AD16" s="360">
        <f t="shared" si="15"/>
        <v>2.61388220068084E-2</v>
      </c>
      <c r="AE16" s="360">
        <f t="shared" si="16"/>
        <v>0.6042329999999998</v>
      </c>
      <c r="AF16" s="360">
        <f t="shared" si="17"/>
        <v>0</v>
      </c>
      <c r="AG16" s="360">
        <f t="shared" si="18"/>
        <v>0.63119133388615434</v>
      </c>
      <c r="AH16" s="360">
        <f t="shared" si="19"/>
        <v>7.8793819701559978E-2</v>
      </c>
      <c r="AI16" s="360">
        <f t="shared" si="20"/>
        <v>1.5521165057904853E-5</v>
      </c>
      <c r="AJ16" s="360">
        <f t="shared" si="21"/>
        <v>1.3719999999999998E-2</v>
      </c>
      <c r="AK16" s="360">
        <f t="shared" si="22"/>
        <v>1.3735563803448493E-2</v>
      </c>
      <c r="AL16" s="360">
        <f t="shared" si="23"/>
        <v>1.3719999999999998E-2</v>
      </c>
      <c r="AM16" s="360">
        <f t="shared" si="24"/>
        <v>0.1764</v>
      </c>
      <c r="AN16" s="360">
        <f t="shared" si="25"/>
        <v>5.2334720709665879E-4</v>
      </c>
      <c r="AO16" s="360">
        <f t="shared" si="26"/>
        <v>7.3499999999999998E-4</v>
      </c>
      <c r="AP16" s="360">
        <f t="shared" si="27"/>
        <v>0.32999999999999996</v>
      </c>
      <c r="AQ16" s="360">
        <f t="shared" si="28"/>
        <v>1.2539999999999998</v>
      </c>
      <c r="AR16" s="360">
        <f t="shared" si="29"/>
        <v>1.0559999999999998</v>
      </c>
      <c r="AS16" s="360">
        <f t="shared" si="48"/>
        <v>0.33073499999999995</v>
      </c>
      <c r="AT16" s="360">
        <f t="shared" si="41"/>
        <v>1.466997751847364</v>
      </c>
      <c r="AU16">
        <f t="shared" si="30"/>
        <v>7</v>
      </c>
      <c r="AV16" s="542">
        <f t="shared" si="42"/>
        <v>0.82673932427497243</v>
      </c>
      <c r="AW16" s="551">
        <f t="shared" si="31"/>
        <v>37.380766694307717</v>
      </c>
      <c r="AX16" s="551">
        <f t="shared" si="32"/>
        <v>2.7340074245310428</v>
      </c>
      <c r="AY16" s="9"/>
      <c r="AZ16" s="4">
        <f t="shared" si="43"/>
        <v>82.673932427497249</v>
      </c>
      <c r="BA16" s="360">
        <f t="shared" si="33"/>
        <v>0.30066991948513289</v>
      </c>
      <c r="BB16" s="360">
        <f t="shared" si="44"/>
        <v>0.82132689768960288</v>
      </c>
      <c r="BC16" s="360">
        <f t="shared" si="45"/>
        <v>0.74761533388615431</v>
      </c>
      <c r="BD16" s="360">
        <f t="shared" si="46"/>
        <v>7.1947563803448494E-2</v>
      </c>
      <c r="BE16" s="360">
        <f t="shared" si="47"/>
        <v>5.2334720709665879E-4</v>
      </c>
      <c r="BJ16" s="18"/>
      <c r="BK16" s="18"/>
      <c r="BL16" s="18"/>
      <c r="BM16" s="19"/>
    </row>
    <row r="17" spans="1:65" x14ac:dyDescent="0.2">
      <c r="A17" s="24" t="s">
        <v>58</v>
      </c>
      <c r="B17" s="16" t="s">
        <v>111</v>
      </c>
      <c r="C17" s="24" t="s">
        <v>76</v>
      </c>
      <c r="D17" s="17" t="s">
        <v>107</v>
      </c>
      <c r="G17">
        <v>8</v>
      </c>
      <c r="H17" s="548">
        <f t="shared" si="0"/>
        <v>21</v>
      </c>
      <c r="I17" s="4">
        <f t="shared" si="1"/>
        <v>1</v>
      </c>
      <c r="J17" s="360">
        <f t="shared" si="34"/>
        <v>0.4</v>
      </c>
      <c r="K17" s="4">
        <f t="shared" si="2"/>
        <v>0.42328042328042326</v>
      </c>
      <c r="L17" s="4"/>
      <c r="M17" s="360">
        <f t="shared" si="3"/>
        <v>0.95257188026780704</v>
      </c>
      <c r="N17" s="4">
        <f t="shared" si="4"/>
        <v>0.31612685466487611</v>
      </c>
      <c r="O17" s="4">
        <f t="shared" si="35"/>
        <v>0.55806342733243808</v>
      </c>
      <c r="P17" s="4">
        <f t="shared" si="36"/>
        <v>0.24193657266756197</v>
      </c>
      <c r="Q17" s="4">
        <f t="shared" si="5"/>
        <v>0</v>
      </c>
      <c r="R17" s="4">
        <f t="shared" si="6"/>
        <v>0.41027797367966556</v>
      </c>
      <c r="S17" s="360">
        <f t="shared" si="7"/>
        <v>8.4164007843346171E-4</v>
      </c>
      <c r="T17" s="360">
        <f t="shared" si="8"/>
        <v>0.3</v>
      </c>
      <c r="U17" s="360">
        <f t="shared" si="9"/>
        <v>0.30086189747291237</v>
      </c>
      <c r="V17" s="4">
        <f t="shared" si="37"/>
        <v>9.1257962319417962E-2</v>
      </c>
      <c r="W17" s="360">
        <f t="shared" si="10"/>
        <v>1.6656031373384618E-5</v>
      </c>
      <c r="X17" s="360">
        <f t="shared" si="38"/>
        <v>1.6656031373384618E-5</v>
      </c>
      <c r="Y17" s="4">
        <f t="shared" si="11"/>
        <v>8.7205732472903613E-2</v>
      </c>
      <c r="Z17" s="360">
        <f t="shared" si="12"/>
        <v>7.6048397761356353E-6</v>
      </c>
      <c r="AA17" s="541">
        <f t="shared" si="39"/>
        <v>7.6048397761356353E-6</v>
      </c>
      <c r="AB17" s="360">
        <f t="shared" si="13"/>
        <v>0.40043043641114678</v>
      </c>
      <c r="AC17" s="360">
        <f t="shared" si="14"/>
        <v>9.6206720642652891E-4</v>
      </c>
      <c r="AD17" s="360">
        <f t="shared" si="15"/>
        <v>2.9872939436352459E-2</v>
      </c>
      <c r="AE17" s="360">
        <f t="shared" si="16"/>
        <v>0.6042329999999998</v>
      </c>
      <c r="AF17" s="360">
        <f t="shared" si="17"/>
        <v>0</v>
      </c>
      <c r="AG17" s="360">
        <f t="shared" si="18"/>
        <v>0.63516088889700473</v>
      </c>
      <c r="AH17" s="360">
        <f t="shared" si="19"/>
        <v>8.9350328943271939E-2</v>
      </c>
      <c r="AI17" s="360">
        <f t="shared" si="20"/>
        <v>1.9958703205677249E-5</v>
      </c>
      <c r="AJ17" s="360">
        <f t="shared" si="21"/>
        <v>1.5679999999999999E-2</v>
      </c>
      <c r="AK17" s="360">
        <f t="shared" si="22"/>
        <v>1.5700021373619061E-2</v>
      </c>
      <c r="AL17" s="360">
        <f t="shared" si="23"/>
        <v>1.5679999999999999E-2</v>
      </c>
      <c r="AM17" s="360">
        <f t="shared" si="24"/>
        <v>0.20159999999999997</v>
      </c>
      <c r="AN17" s="360">
        <f t="shared" si="25"/>
        <v>6.7331206274676939E-4</v>
      </c>
      <c r="AO17" s="360">
        <f t="shared" si="26"/>
        <v>7.3499999999999998E-4</v>
      </c>
      <c r="AP17" s="360">
        <f t="shared" si="27"/>
        <v>0.32999999999999996</v>
      </c>
      <c r="AQ17" s="360">
        <f t="shared" si="28"/>
        <v>1.2539999999999998</v>
      </c>
      <c r="AR17" s="360">
        <f t="shared" si="29"/>
        <v>1.0559999999999998</v>
      </c>
      <c r="AS17" s="360">
        <f t="shared" si="48"/>
        <v>0.33073499999999995</v>
      </c>
      <c r="AT17" s="360">
        <f t="shared" si="41"/>
        <v>1.5004353806774324</v>
      </c>
      <c r="AU17">
        <f t="shared" si="30"/>
        <v>8</v>
      </c>
      <c r="AV17" s="542">
        <f t="shared" si="42"/>
        <v>0.84206667162548043</v>
      </c>
      <c r="AW17" s="551">
        <f t="shared" si="31"/>
        <v>38.410844444850234</v>
      </c>
      <c r="AX17" s="551">
        <f t="shared" si="32"/>
        <v>3.124664812197524</v>
      </c>
      <c r="AY17" s="9"/>
      <c r="AZ17" s="4">
        <f t="shared" si="43"/>
        <v>84.206667162548044</v>
      </c>
      <c r="BA17" s="360">
        <f t="shared" si="33"/>
        <v>0.30086189747291237</v>
      </c>
      <c r="BB17" s="360">
        <f t="shared" si="44"/>
        <v>0.85246091027062376</v>
      </c>
      <c r="BC17" s="360">
        <f t="shared" si="45"/>
        <v>0.76821688889700468</v>
      </c>
      <c r="BD17" s="360">
        <f t="shared" si="46"/>
        <v>8.2228021373619051E-2</v>
      </c>
      <c r="BE17" s="360">
        <f t="shared" si="47"/>
        <v>6.7331206274676939E-4</v>
      </c>
      <c r="BJ17" s="18"/>
      <c r="BK17" s="18"/>
      <c r="BL17" s="18"/>
      <c r="BM17" s="19"/>
    </row>
    <row r="18" spans="1:65" x14ac:dyDescent="0.2">
      <c r="A18" s="35" t="s">
        <v>56</v>
      </c>
      <c r="B18" s="38">
        <f>Lo_2*1000000</f>
        <v>1.5</v>
      </c>
      <c r="C18" s="441" t="s">
        <v>10</v>
      </c>
      <c r="D18" s="440" t="s">
        <v>468</v>
      </c>
      <c r="G18">
        <v>9</v>
      </c>
      <c r="H18" s="548">
        <f t="shared" si="0"/>
        <v>21</v>
      </c>
      <c r="I18" s="4">
        <f t="shared" si="1"/>
        <v>1</v>
      </c>
      <c r="J18" s="360">
        <f t="shared" si="34"/>
        <v>0.45</v>
      </c>
      <c r="K18" s="4">
        <f t="shared" si="2"/>
        <v>0.47619047619047616</v>
      </c>
      <c r="L18" s="4"/>
      <c r="M18" s="360">
        <f t="shared" si="3"/>
        <v>0.9525957459979596</v>
      </c>
      <c r="N18" s="4">
        <f t="shared" si="4"/>
        <v>0.3159601323517563</v>
      </c>
      <c r="O18" s="4">
        <f t="shared" si="35"/>
        <v>0.60798006617587819</v>
      </c>
      <c r="P18" s="4">
        <f t="shared" si="36"/>
        <v>0.29201993382412184</v>
      </c>
      <c r="Q18" s="4">
        <f t="shared" si="5"/>
        <v>0</v>
      </c>
      <c r="R18" s="4">
        <f t="shared" si="6"/>
        <v>0.45915055675632688</v>
      </c>
      <c r="S18" s="360">
        <f t="shared" si="7"/>
        <v>1.0540961688482247E-3</v>
      </c>
      <c r="T18" s="360">
        <f t="shared" si="8"/>
        <v>0.3</v>
      </c>
      <c r="U18" s="360">
        <f t="shared" si="9"/>
        <v>0.30107948550742358</v>
      </c>
      <c r="V18" s="4">
        <f t="shared" si="37"/>
        <v>9.1209833733238141E-2</v>
      </c>
      <c r="W18" s="360">
        <f t="shared" si="10"/>
        <v>1.6638467539289892E-5</v>
      </c>
      <c r="X18" s="360">
        <f t="shared" si="38"/>
        <v>1.6638467539289892E-5</v>
      </c>
      <c r="Y18" s="4">
        <f t="shared" si="11"/>
        <v>9.7570401565227144E-2</v>
      </c>
      <c r="Z18" s="360">
        <f t="shared" si="12"/>
        <v>9.5199832615996786E-6</v>
      </c>
      <c r="AA18" s="541">
        <f t="shared" si="39"/>
        <v>9.5199832615996786E-6</v>
      </c>
      <c r="AB18" s="360">
        <f t="shared" si="13"/>
        <v>0.44813558803504228</v>
      </c>
      <c r="AC18" s="360">
        <f t="shared" si="14"/>
        <v>1.2049530315810788E-3</v>
      </c>
      <c r="AD18" s="360">
        <f t="shared" si="15"/>
        <v>3.3607056865896524E-2</v>
      </c>
      <c r="AE18" s="360">
        <f t="shared" si="16"/>
        <v>0.6042329999999998</v>
      </c>
      <c r="AF18" s="360">
        <f t="shared" si="17"/>
        <v>0</v>
      </c>
      <c r="AG18" s="360">
        <f t="shared" si="18"/>
        <v>0.63916207425989313</v>
      </c>
      <c r="AH18" s="360">
        <f t="shared" si="19"/>
        <v>9.9968637612662212E-2</v>
      </c>
      <c r="AI18" s="360">
        <f t="shared" si="20"/>
        <v>2.4984321265329457E-5</v>
      </c>
      <c r="AJ18" s="360">
        <f t="shared" si="21"/>
        <v>1.7639999999999999E-2</v>
      </c>
      <c r="AK18" s="360">
        <f t="shared" si="22"/>
        <v>1.7665072591235086E-2</v>
      </c>
      <c r="AL18" s="360">
        <f t="shared" si="23"/>
        <v>1.7639999999999999E-2</v>
      </c>
      <c r="AM18" s="360">
        <f t="shared" si="24"/>
        <v>0.22679999999999997</v>
      </c>
      <c r="AN18" s="360">
        <f t="shared" si="25"/>
        <v>8.4327693507857979E-4</v>
      </c>
      <c r="AO18" s="360">
        <f t="shared" si="26"/>
        <v>7.3499999999999998E-4</v>
      </c>
      <c r="AP18" s="360">
        <f t="shared" si="27"/>
        <v>0.32999999999999996</v>
      </c>
      <c r="AQ18" s="360">
        <f t="shared" si="28"/>
        <v>1.2539999999999998</v>
      </c>
      <c r="AR18" s="360">
        <f t="shared" si="29"/>
        <v>1.0559999999999998</v>
      </c>
      <c r="AS18" s="360">
        <f t="shared" si="48"/>
        <v>0.33073499999999995</v>
      </c>
      <c r="AT18" s="360">
        <f t="shared" si="41"/>
        <v>1.5339510677444312</v>
      </c>
      <c r="AU18">
        <f t="shared" si="30"/>
        <v>9</v>
      </c>
      <c r="AV18" s="542">
        <f t="shared" si="42"/>
        <v>0.85438027404157235</v>
      </c>
      <c r="AW18" s="551">
        <f t="shared" si="31"/>
        <v>39.442503712994657</v>
      </c>
      <c r="AX18" s="551">
        <f t="shared" si="32"/>
        <v>3.5153447584669335</v>
      </c>
      <c r="AY18" s="9"/>
      <c r="AZ18" s="4">
        <f t="shared" si="43"/>
        <v>85.438027404157239</v>
      </c>
      <c r="BA18" s="360">
        <f t="shared" si="33"/>
        <v>0.30107948550742358</v>
      </c>
      <c r="BB18" s="360">
        <f t="shared" si="44"/>
        <v>0.8836271468511282</v>
      </c>
      <c r="BC18" s="360">
        <f t="shared" si="45"/>
        <v>0.78885007425989317</v>
      </c>
      <c r="BD18" s="360">
        <f t="shared" si="46"/>
        <v>9.2509072591235086E-2</v>
      </c>
      <c r="BE18" s="360">
        <f t="shared" si="47"/>
        <v>8.4327693507857979E-4</v>
      </c>
      <c r="BK18" s="18"/>
      <c r="BL18" s="19"/>
    </row>
    <row r="19" spans="1:65" x14ac:dyDescent="0.2">
      <c r="A19" s="35" t="s">
        <v>11</v>
      </c>
      <c r="B19" s="39">
        <f>Rdcr2*1000</f>
        <v>5</v>
      </c>
      <c r="C19" s="442" t="s">
        <v>466</v>
      </c>
      <c r="D19" s="440" t="s">
        <v>469</v>
      </c>
      <c r="G19">
        <v>10</v>
      </c>
      <c r="H19" s="548">
        <f t="shared" si="0"/>
        <v>21</v>
      </c>
      <c r="I19" s="4">
        <f t="shared" si="1"/>
        <v>1</v>
      </c>
      <c r="J19" s="360">
        <f t="shared" si="34"/>
        <v>0.5</v>
      </c>
      <c r="K19" s="4">
        <f t="shared" si="2"/>
        <v>0.52910052910052907</v>
      </c>
      <c r="L19" s="4"/>
      <c r="M19" s="360">
        <f t="shared" si="3"/>
        <v>0.95261961167128961</v>
      </c>
      <c r="N19" s="4">
        <f t="shared" si="4"/>
        <v>0.31579340126903205</v>
      </c>
      <c r="O19" s="4">
        <f t="shared" si="35"/>
        <v>0.657896700634516</v>
      </c>
      <c r="P19" s="4">
        <f t="shared" si="36"/>
        <v>0.342103299365484</v>
      </c>
      <c r="Q19" s="4">
        <f t="shared" si="5"/>
        <v>0</v>
      </c>
      <c r="R19" s="4">
        <f t="shared" si="6"/>
        <v>0.5082425169382776</v>
      </c>
      <c r="S19" s="360">
        <f t="shared" si="7"/>
        <v>1.291552280118777E-3</v>
      </c>
      <c r="T19" s="360">
        <f t="shared" si="8"/>
        <v>0.3</v>
      </c>
      <c r="U19" s="360">
        <f t="shared" si="9"/>
        <v>0.30132268620031188</v>
      </c>
      <c r="V19" s="4">
        <f t="shared" si="37"/>
        <v>9.1161702615491585E-2</v>
      </c>
      <c r="W19" s="360">
        <f t="shared" si="10"/>
        <v>1.6620912047510649E-5</v>
      </c>
      <c r="X19" s="360">
        <f t="shared" si="38"/>
        <v>1.6620912047510649E-5</v>
      </c>
      <c r="Y19" s="4">
        <f t="shared" si="11"/>
        <v>0.10797670241094512</v>
      </c>
      <c r="Z19" s="360">
        <f t="shared" si="12"/>
        <v>1.1658968263541802E-5</v>
      </c>
      <c r="AA19" s="541">
        <f t="shared" si="39"/>
        <v>1.1658968263541802E-5</v>
      </c>
      <c r="AB19" s="360">
        <f t="shared" si="13"/>
        <v>0.49605605157883481</v>
      </c>
      <c r="AC19" s="360">
        <f t="shared" si="14"/>
        <v>1.4764296378479017E-3</v>
      </c>
      <c r="AD19" s="360">
        <f t="shared" si="15"/>
        <v>3.7341174295440573E-2</v>
      </c>
      <c r="AE19" s="360">
        <f t="shared" si="16"/>
        <v>0.6042329999999998</v>
      </c>
      <c r="AF19" s="360">
        <f t="shared" si="17"/>
        <v>0</v>
      </c>
      <c r="AG19" s="360">
        <f t="shared" si="18"/>
        <v>0.64319494801008004</v>
      </c>
      <c r="AH19" s="360">
        <f t="shared" si="19"/>
        <v>0.11062933478861653</v>
      </c>
      <c r="AI19" s="360">
        <f t="shared" si="20"/>
        <v>3.0597124289429496E-5</v>
      </c>
      <c r="AJ19" s="360">
        <f t="shared" si="21"/>
        <v>1.9599999999999999E-2</v>
      </c>
      <c r="AK19" s="360">
        <f t="shared" si="22"/>
        <v>1.9630717252988563E-2</v>
      </c>
      <c r="AL19" s="360">
        <f t="shared" si="23"/>
        <v>1.9599999999999999E-2</v>
      </c>
      <c r="AM19" s="360">
        <f t="shared" si="24"/>
        <v>0.25199999999999995</v>
      </c>
      <c r="AN19" s="360">
        <f t="shared" si="25"/>
        <v>1.0332418240950217E-3</v>
      </c>
      <c r="AO19" s="360">
        <f t="shared" si="26"/>
        <v>7.3499999999999998E-4</v>
      </c>
      <c r="AP19" s="360">
        <f t="shared" si="27"/>
        <v>0.32999999999999996</v>
      </c>
      <c r="AQ19" s="360">
        <f t="shared" si="28"/>
        <v>1.2539999999999998</v>
      </c>
      <c r="AR19" s="360">
        <f t="shared" si="29"/>
        <v>1.0559999999999998</v>
      </c>
      <c r="AS19" s="360">
        <f t="shared" si="48"/>
        <v>0.33073499999999995</v>
      </c>
      <c r="AT19" s="360">
        <f t="shared" si="41"/>
        <v>1.5675448731677866</v>
      </c>
      <c r="AU19">
        <f t="shared" si="30"/>
        <v>10</v>
      </c>
      <c r="AV19" s="542">
        <f t="shared" si="42"/>
        <v>0.8644876773459611</v>
      </c>
      <c r="AW19" s="551">
        <f t="shared" si="31"/>
        <v>40.475747400504005</v>
      </c>
      <c r="AX19" s="551">
        <f t="shared" si="32"/>
        <v>3.906047255613565</v>
      </c>
      <c r="AY19" s="9"/>
      <c r="AZ19" s="4">
        <f t="shared" si="43"/>
        <v>86.448767734596117</v>
      </c>
      <c r="BA19" s="360">
        <f t="shared" si="33"/>
        <v>0.30132268620031188</v>
      </c>
      <c r="BB19" s="360">
        <f t="shared" si="44"/>
        <v>0.91482566526306863</v>
      </c>
      <c r="BC19" s="360">
        <f t="shared" si="45"/>
        <v>0.80951494801008006</v>
      </c>
      <c r="BD19" s="360">
        <f t="shared" si="46"/>
        <v>0.10279071725298855</v>
      </c>
      <c r="BE19" s="360">
        <f t="shared" si="47"/>
        <v>1.0332418240950217E-3</v>
      </c>
      <c r="BK19" s="18"/>
      <c r="BL19" s="19"/>
    </row>
    <row r="20" spans="1:65" x14ac:dyDescent="0.2">
      <c r="A20" s="35" t="s">
        <v>82</v>
      </c>
      <c r="B20" s="39">
        <f>Ltc*1000000</f>
        <v>4000</v>
      </c>
      <c r="C20" s="441" t="s">
        <v>81</v>
      </c>
      <c r="D20" s="21" t="s">
        <v>97</v>
      </c>
      <c r="G20">
        <v>11</v>
      </c>
      <c r="H20" s="548">
        <f t="shared" si="0"/>
        <v>21</v>
      </c>
      <c r="I20" s="4">
        <f t="shared" si="1"/>
        <v>1</v>
      </c>
      <c r="J20" s="360">
        <f t="shared" si="34"/>
        <v>0.55000000000000004</v>
      </c>
      <c r="K20" s="4">
        <f t="shared" si="2"/>
        <v>0.58201058201058198</v>
      </c>
      <c r="L20" s="4"/>
      <c r="M20" s="360">
        <f t="shared" si="3"/>
        <v>0.95264347728779752</v>
      </c>
      <c r="N20" s="4">
        <f t="shared" si="4"/>
        <v>0.31562666141673595</v>
      </c>
      <c r="O20" s="4">
        <f t="shared" si="35"/>
        <v>0.70781333070836805</v>
      </c>
      <c r="P20" s="4">
        <f t="shared" si="36"/>
        <v>0.39218666929163204</v>
      </c>
      <c r="Q20" s="4">
        <f t="shared" si="5"/>
        <v>0</v>
      </c>
      <c r="R20" s="4">
        <f t="shared" si="6"/>
        <v>0.55749590352733203</v>
      </c>
      <c r="S20" s="360">
        <f t="shared" si="7"/>
        <v>1.5540084122487815E-3</v>
      </c>
      <c r="T20" s="360">
        <f t="shared" si="8"/>
        <v>0.3</v>
      </c>
      <c r="U20" s="360">
        <f t="shared" si="9"/>
        <v>0.30159150247080097</v>
      </c>
      <c r="V20" s="4">
        <f t="shared" si="37"/>
        <v>9.1113568966187691E-2</v>
      </c>
      <c r="W20" s="360">
        <f t="shared" si="10"/>
        <v>1.6603364899512482E-5</v>
      </c>
      <c r="X20" s="360">
        <f t="shared" si="38"/>
        <v>1.6603364899512482E-5</v>
      </c>
      <c r="Y20" s="4">
        <f t="shared" si="11"/>
        <v>0.11841229063381498</v>
      </c>
      <c r="Z20" s="360">
        <f t="shared" si="12"/>
        <v>1.4021470573147065E-5</v>
      </c>
      <c r="AA20" s="541">
        <f t="shared" si="39"/>
        <v>1.4021470573147065E-5</v>
      </c>
      <c r="AB20" s="360">
        <f t="shared" si="13"/>
        <v>0.54413527317739074</v>
      </c>
      <c r="AC20" s="360">
        <f t="shared" si="14"/>
        <v>1.7764991730950021E-3</v>
      </c>
      <c r="AD20" s="360">
        <f t="shared" si="15"/>
        <v>4.1075291724984628E-2</v>
      </c>
      <c r="AE20" s="360">
        <f t="shared" si="16"/>
        <v>0.6042329999999998</v>
      </c>
      <c r="AF20" s="360">
        <f t="shared" si="17"/>
        <v>0</v>
      </c>
      <c r="AG20" s="360">
        <f t="shared" si="18"/>
        <v>0.64725956902362991</v>
      </c>
      <c r="AH20" s="360">
        <f t="shared" si="19"/>
        <v>0.12131977140566425</v>
      </c>
      <c r="AI20" s="360">
        <f t="shared" si="20"/>
        <v>3.6796217334806569E-5</v>
      </c>
      <c r="AJ20" s="360">
        <f t="shared" si="21"/>
        <v>2.1560000000000003E-2</v>
      </c>
      <c r="AK20" s="360">
        <f t="shared" si="22"/>
        <v>2.1596955154585935E-2</v>
      </c>
      <c r="AL20" s="360">
        <f t="shared" si="23"/>
        <v>2.1560000000000003E-2</v>
      </c>
      <c r="AM20" s="360">
        <f t="shared" si="24"/>
        <v>0.2772</v>
      </c>
      <c r="AN20" s="360">
        <f t="shared" si="25"/>
        <v>1.2432067297990252E-3</v>
      </c>
      <c r="AO20" s="360">
        <f t="shared" si="26"/>
        <v>7.3499999999999998E-4</v>
      </c>
      <c r="AP20" s="360">
        <f t="shared" si="27"/>
        <v>0.32999999999999996</v>
      </c>
      <c r="AQ20" s="360">
        <f t="shared" si="28"/>
        <v>1.2539999999999998</v>
      </c>
      <c r="AR20" s="360">
        <f t="shared" si="29"/>
        <v>1.0559999999999998</v>
      </c>
      <c r="AS20" s="360">
        <f t="shared" si="48"/>
        <v>0.33073499999999995</v>
      </c>
      <c r="AT20" s="360">
        <f t="shared" si="41"/>
        <v>1.6012168582142885</v>
      </c>
      <c r="AU20">
        <f t="shared" si="30"/>
        <v>11</v>
      </c>
      <c r="AV20" s="542">
        <f t="shared" si="42"/>
        <v>0.87293156873413291</v>
      </c>
      <c r="AW20" s="551">
        <f t="shared" si="31"/>
        <v>41.510578451181495</v>
      </c>
      <c r="AX20" s="551">
        <f t="shared" si="32"/>
        <v>4.2967722958742653</v>
      </c>
      <c r="AY20" s="9"/>
      <c r="AZ20" s="4">
        <f t="shared" si="43"/>
        <v>87.293156873413295</v>
      </c>
      <c r="BA20" s="360">
        <f t="shared" si="33"/>
        <v>0.30159150247080097</v>
      </c>
      <c r="BB20" s="360">
        <f t="shared" si="44"/>
        <v>0.94605652417821584</v>
      </c>
      <c r="BC20" s="360">
        <f t="shared" si="45"/>
        <v>0.83021156902362991</v>
      </c>
      <c r="BD20" s="360">
        <f t="shared" si="46"/>
        <v>0.11307295515458593</v>
      </c>
      <c r="BE20" s="360">
        <f t="shared" si="47"/>
        <v>1.2432067297990252E-3</v>
      </c>
      <c r="BK20" s="18"/>
      <c r="BL20" s="19"/>
    </row>
    <row r="21" spans="1:65" x14ac:dyDescent="0.2">
      <c r="A21" s="25" t="s">
        <v>129</v>
      </c>
      <c r="B21" s="39">
        <f>ThetaCa</f>
        <v>20</v>
      </c>
      <c r="C21" s="441" t="s">
        <v>205</v>
      </c>
      <c r="D21" s="26" t="s">
        <v>130</v>
      </c>
      <c r="G21">
        <v>12</v>
      </c>
      <c r="H21" s="548">
        <f t="shared" si="0"/>
        <v>21</v>
      </c>
      <c r="I21" s="4">
        <f t="shared" si="1"/>
        <v>1</v>
      </c>
      <c r="J21" s="360">
        <f t="shared" si="34"/>
        <v>0.6</v>
      </c>
      <c r="K21" s="4">
        <f t="shared" si="2"/>
        <v>0.63492063492063489</v>
      </c>
      <c r="L21" s="4"/>
      <c r="M21" s="360">
        <f t="shared" si="3"/>
        <v>0.95266734284748311</v>
      </c>
      <c r="N21" s="4">
        <f t="shared" si="4"/>
        <v>0.31545991279489694</v>
      </c>
      <c r="O21" s="4">
        <f t="shared" si="35"/>
        <v>0.75772995639744845</v>
      </c>
      <c r="P21" s="4">
        <f t="shared" si="36"/>
        <v>0.44227004360255151</v>
      </c>
      <c r="Q21" s="4">
        <f t="shared" si="5"/>
        <v>0</v>
      </c>
      <c r="R21" s="4">
        <f t="shared" si="6"/>
        <v>0.60687141393245758</v>
      </c>
      <c r="S21" s="360">
        <f t="shared" si="7"/>
        <v>1.8414645652419011E-3</v>
      </c>
      <c r="T21" s="360">
        <f t="shared" si="8"/>
        <v>0.3</v>
      </c>
      <c r="U21" s="360">
        <f t="shared" si="9"/>
        <v>0.30188593754578075</v>
      </c>
      <c r="V21" s="4">
        <f t="shared" si="37"/>
        <v>9.1065432785334813E-2</v>
      </c>
      <c r="W21" s="360">
        <f t="shared" si="10"/>
        <v>1.6585826096760667E-5</v>
      </c>
      <c r="X21" s="360">
        <f t="shared" si="38"/>
        <v>1.6585826096760667E-5</v>
      </c>
      <c r="Y21" s="4">
        <f t="shared" si="11"/>
        <v>0.12886879354200217</v>
      </c>
      <c r="Z21" s="360">
        <f t="shared" si="12"/>
        <v>1.6607165948971184E-5</v>
      </c>
      <c r="AA21" s="541">
        <f t="shared" si="39"/>
        <v>1.6607165948971184E-5</v>
      </c>
      <c r="AB21" s="360">
        <f t="shared" si="13"/>
        <v>0.59233489755657609</v>
      </c>
      <c r="AC21" s="360">
        <f t="shared" si="14"/>
        <v>2.1051637851801572E-3</v>
      </c>
      <c r="AD21" s="360">
        <f t="shared" si="15"/>
        <v>4.480940915452869E-2</v>
      </c>
      <c r="AE21" s="360">
        <f t="shared" si="16"/>
        <v>0.6042329999999998</v>
      </c>
      <c r="AF21" s="360">
        <f t="shared" si="17"/>
        <v>0</v>
      </c>
      <c r="AG21" s="360">
        <f t="shared" si="18"/>
        <v>0.65135599702024893</v>
      </c>
      <c r="AH21" s="360">
        <f t="shared" si="19"/>
        <v>0.13203136818582431</v>
      </c>
      <c r="AI21" s="360">
        <f t="shared" si="20"/>
        <v>4.3580705462551751E-5</v>
      </c>
      <c r="AJ21" s="360">
        <f t="shared" si="21"/>
        <v>2.3519999999999999E-2</v>
      </c>
      <c r="AK21" s="360">
        <f t="shared" si="22"/>
        <v>2.3563786090746792E-2</v>
      </c>
      <c r="AL21" s="360">
        <f t="shared" si="23"/>
        <v>2.3519999999999999E-2</v>
      </c>
      <c r="AM21" s="360">
        <f t="shared" si="24"/>
        <v>0.3024</v>
      </c>
      <c r="AN21" s="360">
        <f t="shared" si="25"/>
        <v>1.4731716521935211E-3</v>
      </c>
      <c r="AO21" s="360">
        <f t="shared" si="26"/>
        <v>7.3499999999999998E-4</v>
      </c>
      <c r="AP21" s="360">
        <f t="shared" si="27"/>
        <v>0.32999999999999996</v>
      </c>
      <c r="AQ21" s="360">
        <f t="shared" si="28"/>
        <v>1.2539999999999998</v>
      </c>
      <c r="AR21" s="360">
        <f t="shared" si="29"/>
        <v>1.0559999999999998</v>
      </c>
      <c r="AS21" s="360">
        <f t="shared" si="48"/>
        <v>0.33073499999999995</v>
      </c>
      <c r="AT21" s="360">
        <f t="shared" si="41"/>
        <v>1.6349670853010159</v>
      </c>
      <c r="AU21">
        <f t="shared" si="30"/>
        <v>12</v>
      </c>
      <c r="AV21" s="542">
        <f t="shared" si="42"/>
        <v>0.88009013332613262</v>
      </c>
      <c r="AW21" s="551">
        <f t="shared" si="31"/>
        <v>42.546999851012444</v>
      </c>
      <c r="AX21" s="551">
        <f t="shared" si="32"/>
        <v>4.6875198714483783</v>
      </c>
      <c r="AY21" s="9"/>
      <c r="AZ21" s="4">
        <f t="shared" si="43"/>
        <v>88.009013332613264</v>
      </c>
      <c r="BA21" s="360">
        <f t="shared" si="33"/>
        <v>0.30188593754578075</v>
      </c>
      <c r="BB21" s="360">
        <f t="shared" si="44"/>
        <v>0.97731978311099577</v>
      </c>
      <c r="BC21" s="360">
        <f t="shared" si="45"/>
        <v>0.85093999702024892</v>
      </c>
      <c r="BD21" s="360">
        <f t="shared" si="46"/>
        <v>0.12335578609074679</v>
      </c>
      <c r="BE21" s="360">
        <f t="shared" si="47"/>
        <v>1.4731716521935211E-3</v>
      </c>
      <c r="BK21" s="18"/>
      <c r="BL21" s="19"/>
    </row>
    <row r="22" spans="1:65" x14ac:dyDescent="0.2">
      <c r="A22" s="36" t="s">
        <v>57</v>
      </c>
      <c r="B22" s="39">
        <f>Cin*1000000</f>
        <v>50</v>
      </c>
      <c r="C22" s="443" t="s">
        <v>467</v>
      </c>
      <c r="D22" s="440" t="s">
        <v>484</v>
      </c>
      <c r="G22">
        <v>13</v>
      </c>
      <c r="H22" s="548">
        <f t="shared" si="0"/>
        <v>21</v>
      </c>
      <c r="I22" s="4">
        <f t="shared" si="1"/>
        <v>1</v>
      </c>
      <c r="J22" s="360">
        <f t="shared" si="34"/>
        <v>0.65</v>
      </c>
      <c r="K22" s="4">
        <f t="shared" si="2"/>
        <v>0.68783068783068779</v>
      </c>
      <c r="L22" s="4"/>
      <c r="M22" s="360">
        <f t="shared" si="3"/>
        <v>0.95269120835034693</v>
      </c>
      <c r="N22" s="4">
        <f t="shared" si="4"/>
        <v>0.31529315540354752</v>
      </c>
      <c r="O22" s="4">
        <f t="shared" si="35"/>
        <v>0.80764657770177384</v>
      </c>
      <c r="P22" s="4">
        <f t="shared" si="36"/>
        <v>0.49235342229822626</v>
      </c>
      <c r="Q22" s="4">
        <f t="shared" si="5"/>
        <v>0</v>
      </c>
      <c r="R22" s="4">
        <f t="shared" si="6"/>
        <v>0.65634148720034491</v>
      </c>
      <c r="S22" s="360">
        <f t="shared" si="7"/>
        <v>2.1539207391018025E-3</v>
      </c>
      <c r="T22" s="360">
        <f t="shared" si="8"/>
        <v>0.3</v>
      </c>
      <c r="U22" s="360">
        <f t="shared" si="9"/>
        <v>0.3022059949599038</v>
      </c>
      <c r="V22" s="4">
        <f t="shared" si="37"/>
        <v>9.1017294072942345E-2</v>
      </c>
      <c r="W22" s="360">
        <f t="shared" si="10"/>
        <v>1.6568295640720931E-5</v>
      </c>
      <c r="X22" s="360">
        <f t="shared" si="38"/>
        <v>1.6568295640720931E-5</v>
      </c>
      <c r="Y22" s="4">
        <f t="shared" si="11"/>
        <v>0.13934033915898367</v>
      </c>
      <c r="Z22" s="360">
        <f t="shared" si="12"/>
        <v>1.9415730116940599E-5</v>
      </c>
      <c r="AA22" s="541">
        <f t="shared" si="39"/>
        <v>1.9415730116940599E-5</v>
      </c>
      <c r="AB22" s="360">
        <f t="shared" si="13"/>
        <v>0.64062802805150021</v>
      </c>
      <c r="AC22" s="360">
        <f t="shared" si="14"/>
        <v>2.4624256219509225E-3</v>
      </c>
      <c r="AD22" s="360">
        <f t="shared" si="15"/>
        <v>4.8543526584072745E-2</v>
      </c>
      <c r="AE22" s="360">
        <f t="shared" si="16"/>
        <v>0.6042329999999998</v>
      </c>
      <c r="AF22" s="360">
        <f t="shared" si="17"/>
        <v>0</v>
      </c>
      <c r="AG22" s="360">
        <f t="shared" si="18"/>
        <v>0.65548429256617735</v>
      </c>
      <c r="AH22" s="360">
        <f t="shared" si="19"/>
        <v>0.14275810833436672</v>
      </c>
      <c r="AI22" s="360">
        <f t="shared" si="20"/>
        <v>5.0949693738016966E-5</v>
      </c>
      <c r="AJ22" s="360">
        <f t="shared" si="21"/>
        <v>2.5479999999999999E-2</v>
      </c>
      <c r="AK22" s="360">
        <f t="shared" si="22"/>
        <v>2.5531209855202592E-2</v>
      </c>
      <c r="AL22" s="360">
        <f t="shared" si="23"/>
        <v>2.5479999999999999E-2</v>
      </c>
      <c r="AM22" s="360">
        <f t="shared" si="24"/>
        <v>0.3276</v>
      </c>
      <c r="AN22" s="360">
        <f t="shared" si="25"/>
        <v>1.7231365912814421E-3</v>
      </c>
      <c r="AO22" s="360">
        <f t="shared" si="26"/>
        <v>7.3499999999999998E-4</v>
      </c>
      <c r="AP22" s="360">
        <f t="shared" si="27"/>
        <v>0.32999999999999996</v>
      </c>
      <c r="AQ22" s="360">
        <f t="shared" si="28"/>
        <v>1.2539999999999998</v>
      </c>
      <c r="AR22" s="360">
        <f t="shared" si="29"/>
        <v>1.0559999999999998</v>
      </c>
      <c r="AS22" s="360">
        <f t="shared" si="48"/>
        <v>0.33073499999999995</v>
      </c>
      <c r="AT22" s="360">
        <f t="shared" si="41"/>
        <v>1.6687956179983232</v>
      </c>
      <c r="AU22">
        <f t="shared" si="30"/>
        <v>13</v>
      </c>
      <c r="AV22" s="542">
        <f t="shared" si="42"/>
        <v>0.88623499423833108</v>
      </c>
      <c r="AW22" s="551">
        <f t="shared" si="31"/>
        <v>43.585014628308869</v>
      </c>
      <c r="AX22" s="551">
        <f t="shared" si="32"/>
        <v>5.0782899744976993</v>
      </c>
      <c r="AY22" s="9"/>
      <c r="AZ22" s="4">
        <f t="shared" si="43"/>
        <v>88.62349942383311</v>
      </c>
      <c r="BA22" s="360">
        <f t="shared" si="33"/>
        <v>0.3022059949599038</v>
      </c>
      <c r="BB22" s="360">
        <f t="shared" si="44"/>
        <v>1.0086155024213799</v>
      </c>
      <c r="BC22" s="360">
        <f t="shared" si="45"/>
        <v>0.87170029256617743</v>
      </c>
      <c r="BD22" s="360">
        <f t="shared" si="46"/>
        <v>0.13363920985520261</v>
      </c>
      <c r="BE22" s="360">
        <f t="shared" si="47"/>
        <v>1.7231365912814421E-3</v>
      </c>
      <c r="BK22" s="18"/>
      <c r="BL22" s="19"/>
    </row>
    <row r="23" spans="1:65" x14ac:dyDescent="0.2">
      <c r="A23" s="36" t="s">
        <v>86</v>
      </c>
      <c r="B23" s="39">
        <f>RCinEsr*1000</f>
        <v>1</v>
      </c>
      <c r="C23" s="442" t="s">
        <v>466</v>
      </c>
      <c r="D23" s="440" t="s">
        <v>480</v>
      </c>
      <c r="G23">
        <v>14</v>
      </c>
      <c r="H23" s="548">
        <f t="shared" si="0"/>
        <v>21</v>
      </c>
      <c r="I23" s="4">
        <f t="shared" si="1"/>
        <v>1</v>
      </c>
      <c r="J23" s="360">
        <f t="shared" si="34"/>
        <v>0.7</v>
      </c>
      <c r="K23" s="4">
        <f t="shared" si="2"/>
        <v>0.7407407407407407</v>
      </c>
      <c r="L23" s="4"/>
      <c r="M23" s="360">
        <f t="shared" si="3"/>
        <v>0.95271507379638898</v>
      </c>
      <c r="N23" s="4">
        <f t="shared" si="4"/>
        <v>0.31512638924271902</v>
      </c>
      <c r="O23" s="4">
        <f t="shared" si="35"/>
        <v>0.85756319462135944</v>
      </c>
      <c r="P23" s="4">
        <f t="shared" si="36"/>
        <v>0.54243680537864047</v>
      </c>
      <c r="Q23" s="4">
        <f t="shared" si="5"/>
        <v>0</v>
      </c>
      <c r="R23" s="4">
        <f t="shared" si="6"/>
        <v>0.70588624208609518</v>
      </c>
      <c r="S23" s="360">
        <f t="shared" si="7"/>
        <v>2.4913769338321466E-3</v>
      </c>
      <c r="T23" s="360">
        <f t="shared" si="8"/>
        <v>0.3</v>
      </c>
      <c r="U23" s="360">
        <f t="shared" si="9"/>
        <v>0.30255167855569182</v>
      </c>
      <c r="V23" s="4">
        <f t="shared" si="37"/>
        <v>9.0969152829019309E-2</v>
      </c>
      <c r="W23" s="360">
        <f t="shared" si="10"/>
        <v>1.6550773532858944E-5</v>
      </c>
      <c r="X23" s="360">
        <f t="shared" si="38"/>
        <v>1.6550773532858944E-5</v>
      </c>
      <c r="Y23" s="4">
        <f t="shared" si="11"/>
        <v>0.14982269110636459</v>
      </c>
      <c r="Z23" s="360">
        <f t="shared" si="12"/>
        <v>2.2446838770353139E-5</v>
      </c>
      <c r="AA23" s="541">
        <f t="shared" si="39"/>
        <v>2.2446838770353139E-5</v>
      </c>
      <c r="AB23" s="360">
        <f t="shared" si="13"/>
        <v>0.68899526259191579</v>
      </c>
      <c r="AC23" s="360">
        <f t="shared" si="14"/>
        <v>2.8482868312446181E-3</v>
      </c>
      <c r="AD23" s="360">
        <f t="shared" si="15"/>
        <v>5.22776440136168E-2</v>
      </c>
      <c r="AE23" s="360">
        <f t="shared" si="16"/>
        <v>0.6042329999999998</v>
      </c>
      <c r="AF23" s="360">
        <f t="shared" si="17"/>
        <v>0</v>
      </c>
      <c r="AG23" s="360">
        <f t="shared" si="18"/>
        <v>0.65964451707713778</v>
      </c>
      <c r="AH23" s="360">
        <f t="shared" si="19"/>
        <v>0.15349565105346261</v>
      </c>
      <c r="AI23" s="360">
        <f t="shared" si="20"/>
        <v>5.8902287230815893E-5</v>
      </c>
      <c r="AJ23" s="360">
        <f t="shared" si="21"/>
        <v>2.7439999999999996E-2</v>
      </c>
      <c r="AK23" s="360">
        <f t="shared" si="22"/>
        <v>2.7499226240695344E-2</v>
      </c>
      <c r="AL23" s="360">
        <f t="shared" si="23"/>
        <v>2.7439999999999996E-2</v>
      </c>
      <c r="AM23" s="360">
        <f t="shared" si="24"/>
        <v>0.3528</v>
      </c>
      <c r="AN23" s="360">
        <f t="shared" si="25"/>
        <v>1.9931015470657175E-3</v>
      </c>
      <c r="AO23" s="360">
        <f t="shared" si="26"/>
        <v>7.3499999999999998E-4</v>
      </c>
      <c r="AP23" s="360">
        <f t="shared" si="27"/>
        <v>0.32999999999999996</v>
      </c>
      <c r="AQ23" s="360">
        <f t="shared" si="28"/>
        <v>1.2539999999999998</v>
      </c>
      <c r="AR23" s="360">
        <f t="shared" si="29"/>
        <v>1.0559999999999998</v>
      </c>
      <c r="AS23" s="360">
        <f t="shared" si="48"/>
        <v>0.33073499999999995</v>
      </c>
      <c r="AT23" s="360">
        <f t="shared" si="41"/>
        <v>1.7027025210328939</v>
      </c>
      <c r="AU23">
        <f t="shared" si="30"/>
        <v>14</v>
      </c>
      <c r="AV23" s="542">
        <f t="shared" si="42"/>
        <v>0.89156627537506883</v>
      </c>
      <c r="AW23" s="551">
        <f t="shared" si="31"/>
        <v>44.624625853856891</v>
      </c>
      <c r="AX23" s="551">
        <f t="shared" si="32"/>
        <v>5.4690825971464232</v>
      </c>
      <c r="AY23" s="9"/>
      <c r="AZ23" s="4">
        <f t="shared" si="43"/>
        <v>89.156627537506878</v>
      </c>
      <c r="BA23" s="360">
        <f t="shared" si="33"/>
        <v>0.30255167855569182</v>
      </c>
      <c r="BB23" s="360">
        <f t="shared" si="44"/>
        <v>1.0399437433178331</v>
      </c>
      <c r="BC23" s="360">
        <f t="shared" si="45"/>
        <v>0.89249251707713784</v>
      </c>
      <c r="BD23" s="360">
        <f t="shared" si="46"/>
        <v>0.14392322624069534</v>
      </c>
      <c r="BE23" s="360">
        <f t="shared" si="47"/>
        <v>1.9931015470657175E-3</v>
      </c>
      <c r="BK23" s="18"/>
      <c r="BL23" s="19"/>
    </row>
    <row r="24" spans="1:65" x14ac:dyDescent="0.2">
      <c r="A24" s="35" t="s">
        <v>25</v>
      </c>
      <c r="B24" s="39">
        <f>Cout2*1000000</f>
        <v>120</v>
      </c>
      <c r="C24" s="441" t="s">
        <v>467</v>
      </c>
      <c r="D24" s="440" t="s">
        <v>483</v>
      </c>
      <c r="G24">
        <v>15</v>
      </c>
      <c r="H24" s="548">
        <f t="shared" si="0"/>
        <v>21</v>
      </c>
      <c r="I24" s="4">
        <f t="shared" si="1"/>
        <v>1</v>
      </c>
      <c r="J24" s="360">
        <f t="shared" si="34"/>
        <v>0.75</v>
      </c>
      <c r="K24" s="4">
        <f t="shared" si="2"/>
        <v>0.79365079365079361</v>
      </c>
      <c r="L24" s="4"/>
      <c r="M24" s="360">
        <f t="shared" si="3"/>
        <v>0.95273893918560981</v>
      </c>
      <c r="N24" s="4">
        <f t="shared" si="4"/>
        <v>0.31495961431244274</v>
      </c>
      <c r="O24" s="4">
        <f t="shared" si="35"/>
        <v>0.90747980715622134</v>
      </c>
      <c r="P24" s="4">
        <f t="shared" si="36"/>
        <v>0.59252019284377866</v>
      </c>
      <c r="Q24" s="4">
        <f t="shared" si="5"/>
        <v>0</v>
      </c>
      <c r="R24" s="4">
        <f t="shared" si="6"/>
        <v>0.75549098597357212</v>
      </c>
      <c r="S24" s="360">
        <f t="shared" si="7"/>
        <v>2.8538331494366012E-3</v>
      </c>
      <c r="T24" s="360">
        <f t="shared" si="8"/>
        <v>0.3</v>
      </c>
      <c r="U24" s="360">
        <f t="shared" si="9"/>
        <v>0.30292299248365073</v>
      </c>
      <c r="V24" s="4">
        <f t="shared" si="37"/>
        <v>9.0921009053574767E-2</v>
      </c>
      <c r="W24" s="360">
        <f t="shared" si="10"/>
        <v>1.6533259774640451E-5</v>
      </c>
      <c r="X24" s="360">
        <f t="shared" si="38"/>
        <v>1.6533259774640451E-5</v>
      </c>
      <c r="Y24" s="4">
        <f t="shared" si="11"/>
        <v>0.16031271805405262</v>
      </c>
      <c r="Z24" s="360">
        <f t="shared" si="12"/>
        <v>2.5700167569878168E-5</v>
      </c>
      <c r="AA24" s="541">
        <f t="shared" si="39"/>
        <v>2.5700167569878168E-5</v>
      </c>
      <c r="AB24" s="360">
        <f t="shared" si="13"/>
        <v>0.73742226267003297</v>
      </c>
      <c r="AC24" s="360">
        <f t="shared" si="14"/>
        <v>3.2627495608883463E-3</v>
      </c>
      <c r="AD24" s="360">
        <f t="shared" si="15"/>
        <v>5.6011761443160862E-2</v>
      </c>
      <c r="AE24" s="360">
        <f t="shared" si="16"/>
        <v>0.6042329999999998</v>
      </c>
      <c r="AF24" s="360">
        <f t="shared" si="17"/>
        <v>0</v>
      </c>
      <c r="AG24" s="360">
        <f t="shared" si="18"/>
        <v>0.66383673282134315</v>
      </c>
      <c r="AH24" s="360">
        <f t="shared" si="19"/>
        <v>0.16424078788756821</v>
      </c>
      <c r="AI24" s="360">
        <f t="shared" si="20"/>
        <v>6.7437591014822936E-5</v>
      </c>
      <c r="AJ24" s="360">
        <f t="shared" si="21"/>
        <v>2.9399999999999999E-2</v>
      </c>
      <c r="AK24" s="360">
        <f t="shared" si="22"/>
        <v>2.9467835038976313E-2</v>
      </c>
      <c r="AL24" s="360">
        <f t="shared" si="23"/>
        <v>2.9399999999999999E-2</v>
      </c>
      <c r="AM24" s="360">
        <f t="shared" si="24"/>
        <v>0.37799999999999989</v>
      </c>
      <c r="AN24" s="360">
        <f t="shared" si="25"/>
        <v>2.2830665195492806E-3</v>
      </c>
      <c r="AO24" s="360">
        <f t="shared" si="26"/>
        <v>7.3499999999999998E-4</v>
      </c>
      <c r="AP24" s="360">
        <f t="shared" si="27"/>
        <v>0.32999999999999996</v>
      </c>
      <c r="AQ24" s="360">
        <f t="shared" si="28"/>
        <v>1.2539999999999998</v>
      </c>
      <c r="AR24" s="360">
        <f t="shared" si="29"/>
        <v>1.0559999999999998</v>
      </c>
      <c r="AS24" s="360">
        <f t="shared" si="48"/>
        <v>0.33073499999999995</v>
      </c>
      <c r="AT24" s="360">
        <f t="shared" si="41"/>
        <v>1.736687860290864</v>
      </c>
      <c r="AU24">
        <f t="shared" si="30"/>
        <v>15</v>
      </c>
      <c r="AV24" s="542">
        <f t="shared" si="42"/>
        <v>0.89623467469861251</v>
      </c>
      <c r="AW24" s="551">
        <f t="shared" si="31"/>
        <v>45.665836641067152</v>
      </c>
      <c r="AX24" s="551">
        <f t="shared" si="32"/>
        <v>5.8598977314810989</v>
      </c>
      <c r="AY24" s="9"/>
      <c r="AZ24" s="4">
        <f t="shared" si="43"/>
        <v>89.623467469861254</v>
      </c>
      <c r="BA24" s="360">
        <f t="shared" si="33"/>
        <v>0.30292299248365073</v>
      </c>
      <c r="BB24" s="360">
        <f t="shared" si="44"/>
        <v>1.0713045678603192</v>
      </c>
      <c r="BC24" s="360">
        <f t="shared" si="45"/>
        <v>0.91331673282134307</v>
      </c>
      <c r="BD24" s="360">
        <f t="shared" si="46"/>
        <v>0.15420783503897628</v>
      </c>
      <c r="BE24" s="360">
        <f t="shared" si="47"/>
        <v>2.2830665195492806E-3</v>
      </c>
      <c r="BK24" s="18"/>
      <c r="BL24" s="19"/>
    </row>
    <row r="25" spans="1:65" x14ac:dyDescent="0.2">
      <c r="A25" s="35" t="s">
        <v>85</v>
      </c>
      <c r="B25" s="40">
        <f>Cout2_ESR*1000</f>
        <v>2</v>
      </c>
      <c r="C25" s="442" t="s">
        <v>466</v>
      </c>
      <c r="D25" s="440" t="s">
        <v>482</v>
      </c>
      <c r="G25">
        <v>16</v>
      </c>
      <c r="H25" s="548">
        <f t="shared" si="0"/>
        <v>21</v>
      </c>
      <c r="I25" s="4">
        <f t="shared" si="1"/>
        <v>1</v>
      </c>
      <c r="J25" s="360">
        <f t="shared" si="34"/>
        <v>0.8</v>
      </c>
      <c r="K25" s="4">
        <f t="shared" si="2"/>
        <v>0.84656084656084651</v>
      </c>
      <c r="L25" s="4"/>
      <c r="M25" s="360">
        <f t="shared" si="3"/>
        <v>0.95276280451800932</v>
      </c>
      <c r="N25" s="4">
        <f t="shared" si="4"/>
        <v>0.31479283061275004</v>
      </c>
      <c r="O25" s="4">
        <f t="shared" si="35"/>
        <v>0.95739641530637509</v>
      </c>
      <c r="P25" s="4">
        <f t="shared" si="36"/>
        <v>0.642603584693625</v>
      </c>
      <c r="Q25" s="4">
        <f t="shared" si="5"/>
        <v>0</v>
      </c>
      <c r="R25" s="4">
        <f t="shared" si="6"/>
        <v>0.80514463122085445</v>
      </c>
      <c r="S25" s="360">
        <f t="shared" si="7"/>
        <v>3.2412893859188286E-3</v>
      </c>
      <c r="T25" s="360">
        <f t="shared" si="8"/>
        <v>0.3</v>
      </c>
      <c r="U25" s="360">
        <f t="shared" si="9"/>
        <v>0.30331994120239536</v>
      </c>
      <c r="V25" s="4">
        <f t="shared" si="37"/>
        <v>9.0872862746617752E-2</v>
      </c>
      <c r="W25" s="360">
        <f t="shared" si="10"/>
        <v>1.6515754367531258E-5</v>
      </c>
      <c r="X25" s="360">
        <f t="shared" si="38"/>
        <v>1.6515754367531258E-5</v>
      </c>
      <c r="Y25" s="4">
        <f t="shared" si="11"/>
        <v>0.17080805643633254</v>
      </c>
      <c r="Z25" s="360">
        <f t="shared" si="12"/>
        <v>2.9175392143557363E-5</v>
      </c>
      <c r="AA25" s="541">
        <f t="shared" si="39"/>
        <v>2.9175392143557363E-5</v>
      </c>
      <c r="AB25" s="360">
        <f t="shared" si="13"/>
        <v>0.78589820785932307</v>
      </c>
      <c r="AC25" s="360">
        <f t="shared" si="14"/>
        <v>3.7058159586989747E-3</v>
      </c>
      <c r="AD25" s="360">
        <f t="shared" si="15"/>
        <v>5.9745878872704918E-2</v>
      </c>
      <c r="AE25" s="360">
        <f t="shared" si="16"/>
        <v>0.6042329999999998</v>
      </c>
      <c r="AF25" s="360">
        <f t="shared" si="17"/>
        <v>0</v>
      </c>
      <c r="AG25" s="360">
        <f t="shared" si="18"/>
        <v>0.66806100292255799</v>
      </c>
      <c r="AH25" s="360">
        <f t="shared" si="19"/>
        <v>0.17499109710859534</v>
      </c>
      <c r="AI25" s="360">
        <f t="shared" si="20"/>
        <v>7.6554710168174619E-5</v>
      </c>
      <c r="AJ25" s="360">
        <f t="shared" si="21"/>
        <v>3.1359999999999999E-2</v>
      </c>
      <c r="AK25" s="360">
        <f t="shared" si="22"/>
        <v>3.1437036040804701E-2</v>
      </c>
      <c r="AL25" s="360">
        <f t="shared" si="23"/>
        <v>3.1359999999999999E-2</v>
      </c>
      <c r="AM25" s="360">
        <f t="shared" si="24"/>
        <v>0.40319999999999995</v>
      </c>
      <c r="AN25" s="360">
        <f t="shared" si="25"/>
        <v>2.5930315087350627E-3</v>
      </c>
      <c r="AO25" s="360">
        <f t="shared" si="26"/>
        <v>7.3499999999999998E-4</v>
      </c>
      <c r="AP25" s="360">
        <f t="shared" si="27"/>
        <v>0.32999999999999996</v>
      </c>
      <c r="AQ25" s="360">
        <f t="shared" si="28"/>
        <v>1.2539999999999998</v>
      </c>
      <c r="AR25" s="360">
        <f t="shared" si="29"/>
        <v>1.0559999999999998</v>
      </c>
      <c r="AS25" s="360">
        <f t="shared" si="48"/>
        <v>0.33073499999999995</v>
      </c>
      <c r="AT25" s="360">
        <f t="shared" si="41"/>
        <v>1.7707517028210042</v>
      </c>
      <c r="AU25">
        <f t="shared" si="30"/>
        <v>16</v>
      </c>
      <c r="AV25" s="542">
        <f t="shared" si="42"/>
        <v>0.90035583567689437</v>
      </c>
      <c r="AW25" s="551">
        <f t="shared" si="31"/>
        <v>46.708650146127894</v>
      </c>
      <c r="AX25" s="551">
        <f t="shared" si="32"/>
        <v>6.2507353695505774</v>
      </c>
      <c r="AY25" s="9"/>
      <c r="AZ25" s="4">
        <f t="shared" si="43"/>
        <v>90.035583567689443</v>
      </c>
      <c r="BA25" s="360">
        <f t="shared" si="33"/>
        <v>0.30331994120239536</v>
      </c>
      <c r="BB25" s="360">
        <f t="shared" si="44"/>
        <v>1.1026980389633627</v>
      </c>
      <c r="BC25" s="360">
        <f t="shared" si="45"/>
        <v>0.93417300292255789</v>
      </c>
      <c r="BD25" s="360">
        <f t="shared" si="46"/>
        <v>0.16449303604080467</v>
      </c>
      <c r="BE25" s="360">
        <f t="shared" si="47"/>
        <v>2.5930315087350627E-3</v>
      </c>
    </row>
    <row r="26" spans="1:65" x14ac:dyDescent="0.2">
      <c r="A26" s="24" t="s">
        <v>112</v>
      </c>
      <c r="B26" s="37" t="s">
        <v>111</v>
      </c>
      <c r="C26" s="24" t="s">
        <v>76</v>
      </c>
      <c r="D26" s="17" t="s">
        <v>107</v>
      </c>
      <c r="G26">
        <v>17</v>
      </c>
      <c r="H26" s="548">
        <f t="shared" si="0"/>
        <v>21</v>
      </c>
      <c r="I26" s="4">
        <f t="shared" si="1"/>
        <v>1</v>
      </c>
      <c r="J26" s="360">
        <f t="shared" si="34"/>
        <v>0.85</v>
      </c>
      <c r="K26" s="4">
        <f t="shared" si="2"/>
        <v>0.89947089947089942</v>
      </c>
      <c r="L26" s="4"/>
      <c r="M26" s="360">
        <f t="shared" si="3"/>
        <v>0.95278666979358762</v>
      </c>
      <c r="N26" s="4">
        <f t="shared" si="4"/>
        <v>0.31462603814367213</v>
      </c>
      <c r="O26" s="4">
        <f t="shared" si="35"/>
        <v>1.007313019071836</v>
      </c>
      <c r="P26" s="4">
        <f t="shared" si="36"/>
        <v>0.69268698092816394</v>
      </c>
      <c r="Q26" s="4">
        <f t="shared" si="5"/>
        <v>0</v>
      </c>
      <c r="R26" s="4">
        <f t="shared" si="6"/>
        <v>0.85483865650571655</v>
      </c>
      <c r="S26" s="360">
        <f t="shared" si="7"/>
        <v>3.6537456432824923E-3</v>
      </c>
      <c r="T26" s="360">
        <f t="shared" si="8"/>
        <v>0.3</v>
      </c>
      <c r="U26" s="360">
        <f t="shared" si="9"/>
        <v>0.3037425294787835</v>
      </c>
      <c r="V26" s="4">
        <f t="shared" si="37"/>
        <v>9.0824713908157287E-2</v>
      </c>
      <c r="W26" s="360">
        <f t="shared" si="10"/>
        <v>1.6498257312997238E-5</v>
      </c>
      <c r="X26" s="360">
        <f t="shared" si="38"/>
        <v>1.6498257312997238E-5</v>
      </c>
      <c r="Y26" s="4">
        <f t="shared" si="11"/>
        <v>0.18130688924253494</v>
      </c>
      <c r="Z26" s="360">
        <f t="shared" si="12"/>
        <v>3.2872188086804832E-5</v>
      </c>
      <c r="AA26" s="541">
        <f t="shared" si="39"/>
        <v>3.2872188086804832E-5</v>
      </c>
      <c r="AB26" s="360">
        <f t="shared" si="13"/>
        <v>0.83441478219599574</v>
      </c>
      <c r="AC26" s="360">
        <f t="shared" si="14"/>
        <v>4.1774881724831467E-3</v>
      </c>
      <c r="AD26" s="360">
        <f t="shared" si="15"/>
        <v>6.3479996302248959E-2</v>
      </c>
      <c r="AE26" s="360">
        <f t="shared" si="16"/>
        <v>0.6042329999999998</v>
      </c>
      <c r="AF26" s="360">
        <f t="shared" si="17"/>
        <v>0</v>
      </c>
      <c r="AG26" s="360">
        <f t="shared" si="18"/>
        <v>0.67231739136321933</v>
      </c>
      <c r="AH26" s="360">
        <f t="shared" si="19"/>
        <v>0.18574471704279341</v>
      </c>
      <c r="AI26" s="360">
        <f t="shared" si="20"/>
        <v>8.6252749773268469E-5</v>
      </c>
      <c r="AJ26" s="360">
        <f t="shared" si="21"/>
        <v>3.3319999999999995E-2</v>
      </c>
      <c r="AK26" s="360">
        <f t="shared" si="22"/>
        <v>3.340682903594637E-2</v>
      </c>
      <c r="AL26" s="360">
        <f t="shared" si="23"/>
        <v>3.3319999999999995E-2</v>
      </c>
      <c r="AM26" s="360">
        <f t="shared" si="24"/>
        <v>0.42839999999999995</v>
      </c>
      <c r="AN26" s="360">
        <f t="shared" si="25"/>
        <v>2.9229965146259939E-3</v>
      </c>
      <c r="AO26" s="360">
        <f t="shared" si="26"/>
        <v>7.3499999999999998E-4</v>
      </c>
      <c r="AP26" s="360">
        <f t="shared" si="27"/>
        <v>0.32999999999999996</v>
      </c>
      <c r="AQ26" s="360">
        <f t="shared" si="28"/>
        <v>1.2539999999999998</v>
      </c>
      <c r="AR26" s="360">
        <f t="shared" si="29"/>
        <v>1.0559999999999998</v>
      </c>
      <c r="AS26" s="360">
        <f t="shared" si="48"/>
        <v>0.33073499999999995</v>
      </c>
      <c r="AT26" s="360">
        <f t="shared" si="41"/>
        <v>1.8048941168379748</v>
      </c>
      <c r="AU26">
        <f t="shared" si="30"/>
        <v>17</v>
      </c>
      <c r="AV26" s="542">
        <f t="shared" si="42"/>
        <v>0.90401997981887783</v>
      </c>
      <c r="AW26" s="551">
        <f t="shared" si="31"/>
        <v>47.753069568160967</v>
      </c>
      <c r="AX26" s="551">
        <f t="shared" si="32"/>
        <v>6.6415955033659628</v>
      </c>
      <c r="AY26" s="9"/>
      <c r="AZ26" s="4">
        <f t="shared" si="43"/>
        <v>90.401997981887789</v>
      </c>
      <c r="BA26" s="360">
        <f t="shared" si="33"/>
        <v>0.3037425294787835</v>
      </c>
      <c r="BB26" s="360">
        <f t="shared" si="44"/>
        <v>1.1341242203991657</v>
      </c>
      <c r="BC26" s="360">
        <f t="shared" si="45"/>
        <v>0.95506139136321933</v>
      </c>
      <c r="BD26" s="360">
        <f t="shared" si="46"/>
        <v>0.17477882903594638</v>
      </c>
      <c r="BE26" s="360">
        <f t="shared" si="47"/>
        <v>2.9229965146259939E-3</v>
      </c>
    </row>
    <row r="27" spans="1:65" x14ac:dyDescent="0.2">
      <c r="A27" s="22" t="s">
        <v>61</v>
      </c>
      <c r="B27" s="5">
        <f>RdsonDRT</f>
        <v>1</v>
      </c>
      <c r="C27" s="444" t="s">
        <v>116</v>
      </c>
      <c r="D27" s="440" t="s">
        <v>507</v>
      </c>
      <c r="G27">
        <v>18</v>
      </c>
      <c r="H27" s="548">
        <f t="shared" si="0"/>
        <v>21</v>
      </c>
      <c r="I27" s="4">
        <f t="shared" si="1"/>
        <v>1</v>
      </c>
      <c r="J27" s="360">
        <f t="shared" si="34"/>
        <v>0.9</v>
      </c>
      <c r="K27" s="4">
        <f t="shared" si="2"/>
        <v>0.95238095238095233</v>
      </c>
      <c r="L27" s="4"/>
      <c r="M27" s="360">
        <f t="shared" si="3"/>
        <v>0.95281053501234503</v>
      </c>
      <c r="N27" s="4">
        <f t="shared" si="4"/>
        <v>0.31445923690524152</v>
      </c>
      <c r="O27" s="4">
        <f t="shared" si="35"/>
        <v>1.0572296184526209</v>
      </c>
      <c r="P27" s="4">
        <f t="shared" si="36"/>
        <v>0.74277038154737929</v>
      </c>
      <c r="Q27" s="4">
        <f t="shared" si="5"/>
        <v>0</v>
      </c>
      <c r="R27" s="4">
        <f t="shared" si="6"/>
        <v>0.90456640679734079</v>
      </c>
      <c r="S27" s="360">
        <f t="shared" si="7"/>
        <v>4.0912019215312611E-3</v>
      </c>
      <c r="T27" s="360">
        <f t="shared" si="8"/>
        <v>0.3</v>
      </c>
      <c r="U27" s="360">
        <f t="shared" si="9"/>
        <v>0.30419076238805881</v>
      </c>
      <c r="V27" s="4">
        <f t="shared" si="37"/>
        <v>9.0776562538202751E-2</v>
      </c>
      <c r="W27" s="360">
        <f t="shared" si="10"/>
        <v>1.6480768612504472E-5</v>
      </c>
      <c r="X27" s="360">
        <f t="shared" si="38"/>
        <v>1.6480768612504472E-5</v>
      </c>
      <c r="Y27" s="4">
        <f t="shared" si="11"/>
        <v>0.19180779692809019</v>
      </c>
      <c r="Z27" s="360">
        <f t="shared" si="12"/>
        <v>3.6790230962407489E-5</v>
      </c>
      <c r="AA27" s="541">
        <f t="shared" si="39"/>
        <v>3.6790230962407489E-5</v>
      </c>
      <c r="AB27" s="360">
        <f t="shared" si="13"/>
        <v>0.88296549102416633</v>
      </c>
      <c r="AC27" s="360">
        <f t="shared" si="14"/>
        <v>4.6777683500372836E-3</v>
      </c>
      <c r="AD27" s="360">
        <f t="shared" si="15"/>
        <v>6.7214113731793049E-2</v>
      </c>
      <c r="AE27" s="360">
        <f t="shared" si="16"/>
        <v>0.6042329999999998</v>
      </c>
      <c r="AF27" s="360">
        <f t="shared" si="17"/>
        <v>0</v>
      </c>
      <c r="AG27" s="360">
        <f t="shared" si="18"/>
        <v>0.67660596298761488</v>
      </c>
      <c r="AH27" s="360">
        <f t="shared" si="19"/>
        <v>0.19650019329940935</v>
      </c>
      <c r="AI27" s="360">
        <f t="shared" si="20"/>
        <v>9.6530814916763097E-5</v>
      </c>
      <c r="AJ27" s="360">
        <f t="shared" si="21"/>
        <v>3.5279999999999999E-2</v>
      </c>
      <c r="AK27" s="360">
        <f t="shared" si="22"/>
        <v>3.5377213813172541E-2</v>
      </c>
      <c r="AL27" s="360">
        <f t="shared" si="23"/>
        <v>3.5279999999999999E-2</v>
      </c>
      <c r="AM27" s="360">
        <f t="shared" si="24"/>
        <v>0.45359999999999995</v>
      </c>
      <c r="AN27" s="360">
        <f t="shared" si="25"/>
        <v>3.2729615372250088E-3</v>
      </c>
      <c r="AO27" s="360">
        <f t="shared" si="26"/>
        <v>7.3499999999999998E-4</v>
      </c>
      <c r="AP27" s="360">
        <f t="shared" si="27"/>
        <v>0.32999999999999996</v>
      </c>
      <c r="AQ27" s="360">
        <f t="shared" si="28"/>
        <v>1.2539999999999998</v>
      </c>
      <c r="AR27" s="360">
        <f t="shared" si="29"/>
        <v>1.0559999999999998</v>
      </c>
      <c r="AS27" s="360">
        <f t="shared" si="48"/>
        <v>0.33073499999999995</v>
      </c>
      <c r="AT27" s="360">
        <f t="shared" si="41"/>
        <v>1.8391151717256462</v>
      </c>
      <c r="AU27">
        <f t="shared" si="30"/>
        <v>18</v>
      </c>
      <c r="AV27" s="542">
        <f t="shared" si="42"/>
        <v>0.90729852839673419</v>
      </c>
      <c r="AW27" s="551">
        <f t="shared" si="31"/>
        <v>48.79909814938074</v>
      </c>
      <c r="AX27" s="551">
        <f t="shared" si="32"/>
        <v>7.0324781249005568</v>
      </c>
      <c r="AY27" s="9"/>
      <c r="AZ27" s="4">
        <f t="shared" si="43"/>
        <v>90.729852839673413</v>
      </c>
      <c r="BA27" s="360">
        <f t="shared" si="33"/>
        <v>0.30419076238805881</v>
      </c>
      <c r="BB27" s="360">
        <f t="shared" si="44"/>
        <v>1.1655831768007874</v>
      </c>
      <c r="BC27" s="360">
        <f t="shared" si="45"/>
        <v>0.97598196298761486</v>
      </c>
      <c r="BD27" s="360">
        <f t="shared" si="46"/>
        <v>0.18506521381317254</v>
      </c>
      <c r="BE27" s="360">
        <f t="shared" si="47"/>
        <v>3.2729615372250088E-3</v>
      </c>
    </row>
    <row r="28" spans="1:65" x14ac:dyDescent="0.2">
      <c r="A28" s="22" t="s">
        <v>126</v>
      </c>
      <c r="B28" s="5">
        <f>RdsonDRT2</f>
        <v>0.5</v>
      </c>
      <c r="C28" s="444" t="s">
        <v>116</v>
      </c>
      <c r="D28" s="440" t="s">
        <v>506</v>
      </c>
      <c r="G28">
        <v>19</v>
      </c>
      <c r="H28" s="548">
        <f t="shared" si="0"/>
        <v>21</v>
      </c>
      <c r="I28" s="4">
        <f t="shared" si="1"/>
        <v>1</v>
      </c>
      <c r="J28" s="360">
        <f t="shared" si="34"/>
        <v>0.95</v>
      </c>
      <c r="K28" s="4">
        <f t="shared" si="2"/>
        <v>1.0052910052910051</v>
      </c>
      <c r="L28" s="4"/>
      <c r="M28" s="360">
        <f t="shared" si="3"/>
        <v>0.95283440017428178</v>
      </c>
      <c r="N28" s="4">
        <f t="shared" si="4"/>
        <v>0.31429242689748726</v>
      </c>
      <c r="O28" s="4">
        <f t="shared" si="35"/>
        <v>1.1071462134487435</v>
      </c>
      <c r="P28" s="4">
        <f t="shared" si="36"/>
        <v>0.79285378655125638</v>
      </c>
      <c r="Q28" s="4">
        <f t="shared" si="5"/>
        <v>0</v>
      </c>
      <c r="R28" s="4">
        <f t="shared" si="6"/>
        <v>0.95432261009249875</v>
      </c>
      <c r="S28" s="360">
        <f t="shared" si="7"/>
        <v>4.553658220668797E-3</v>
      </c>
      <c r="T28" s="360">
        <f t="shared" si="8"/>
        <v>0.3</v>
      </c>
      <c r="U28" s="360">
        <f t="shared" si="9"/>
        <v>0.30466464531400328</v>
      </c>
      <c r="V28" s="4">
        <f t="shared" si="37"/>
        <v>9.0728408636762528E-2</v>
      </c>
      <c r="W28" s="360">
        <f t="shared" si="10"/>
        <v>1.646328826751873E-5</v>
      </c>
      <c r="X28" s="360">
        <f t="shared" si="38"/>
        <v>1.646328826751873E-5</v>
      </c>
      <c r="Y28" s="4">
        <f t="shared" si="11"/>
        <v>0.20230965449163685</v>
      </c>
      <c r="Z28" s="360">
        <f t="shared" si="12"/>
        <v>4.0929196300525484E-5</v>
      </c>
      <c r="AA28" s="541">
        <f t="shared" si="39"/>
        <v>4.0929196300525484E-5</v>
      </c>
      <c r="AB28" s="360">
        <f t="shared" si="13"/>
        <v>0.93154518938048736</v>
      </c>
      <c r="AC28" s="360">
        <f t="shared" si="14"/>
        <v>5.2066586391475685E-3</v>
      </c>
      <c r="AD28" s="360">
        <f t="shared" si="15"/>
        <v>7.0948231161337083E-2</v>
      </c>
      <c r="AE28" s="360">
        <f t="shared" si="16"/>
        <v>0.6042329999999998</v>
      </c>
      <c r="AF28" s="360">
        <f t="shared" si="17"/>
        <v>0</v>
      </c>
      <c r="AG28" s="360">
        <f t="shared" si="18"/>
        <v>0.68092678350511904</v>
      </c>
      <c r="AH28" s="360">
        <f t="shared" si="19"/>
        <v>0.20725637330569913</v>
      </c>
      <c r="AI28" s="360">
        <f t="shared" si="20"/>
        <v>1.0738801068957829E-4</v>
      </c>
      <c r="AJ28" s="360">
        <f t="shared" si="21"/>
        <v>3.7239999999999995E-2</v>
      </c>
      <c r="AK28" s="360">
        <f t="shared" si="22"/>
        <v>3.7348190160258407E-2</v>
      </c>
      <c r="AL28" s="360">
        <f t="shared" si="23"/>
        <v>3.7239999999999995E-2</v>
      </c>
      <c r="AM28" s="360">
        <f t="shared" si="24"/>
        <v>0.47879999999999995</v>
      </c>
      <c r="AN28" s="360">
        <f t="shared" si="25"/>
        <v>3.6429265765350375E-3</v>
      </c>
      <c r="AO28" s="360">
        <f t="shared" si="26"/>
        <v>7.3499999999999998E-4</v>
      </c>
      <c r="AP28" s="360">
        <f t="shared" si="27"/>
        <v>0.32999999999999996</v>
      </c>
      <c r="AQ28" s="360">
        <f t="shared" si="28"/>
        <v>1.2539999999999998</v>
      </c>
      <c r="AR28" s="360">
        <f t="shared" si="29"/>
        <v>1.0559999999999998</v>
      </c>
      <c r="AS28" s="360">
        <f t="shared" si="48"/>
        <v>0.33073499999999995</v>
      </c>
      <c r="AT28" s="360">
        <f t="shared" si="41"/>
        <v>1.8734149380404836</v>
      </c>
      <c r="AU28">
        <f t="shared" si="30"/>
        <v>19</v>
      </c>
      <c r="AV28" s="542">
        <f t="shared" si="42"/>
        <v>0.91024875691872043</v>
      </c>
      <c r="AW28" s="551">
        <f t="shared" si="31"/>
        <v>49.846739175255948</v>
      </c>
      <c r="AX28" s="551">
        <f t="shared" si="32"/>
        <v>7.4233832260898192</v>
      </c>
      <c r="AY28" s="9"/>
      <c r="AZ28" s="4">
        <f t="shared" si="43"/>
        <v>91.02487569187204</v>
      </c>
      <c r="BA28" s="360">
        <f t="shared" si="33"/>
        <v>0.30466464531400328</v>
      </c>
      <c r="BB28" s="360">
        <f t="shared" si="44"/>
        <v>1.1970749736653774</v>
      </c>
      <c r="BC28" s="360">
        <f t="shared" si="45"/>
        <v>0.99693478350511899</v>
      </c>
      <c r="BD28" s="360">
        <f t="shared" si="46"/>
        <v>0.1953521901602584</v>
      </c>
      <c r="BE28" s="360">
        <f t="shared" si="47"/>
        <v>3.6429265765350375E-3</v>
      </c>
    </row>
    <row r="29" spans="1:65" x14ac:dyDescent="0.2">
      <c r="A29" s="24" t="s">
        <v>113</v>
      </c>
      <c r="B29" s="15" t="s">
        <v>111</v>
      </c>
      <c r="C29" s="24" t="s">
        <v>76</v>
      </c>
      <c r="D29" s="17" t="s">
        <v>107</v>
      </c>
      <c r="G29">
        <v>20</v>
      </c>
      <c r="H29" s="548">
        <f t="shared" si="0"/>
        <v>21</v>
      </c>
      <c r="I29" s="4">
        <f t="shared" si="1"/>
        <v>1</v>
      </c>
      <c r="J29" s="360">
        <f t="shared" si="34"/>
        <v>1</v>
      </c>
      <c r="K29" s="4">
        <f t="shared" si="2"/>
        <v>1.0582010582010581</v>
      </c>
      <c r="L29" s="4"/>
      <c r="M29" s="360">
        <f t="shared" si="3"/>
        <v>0.95285826527939821</v>
      </c>
      <c r="N29" s="4">
        <f t="shared" si="4"/>
        <v>0.31412560812044182</v>
      </c>
      <c r="O29" s="4">
        <f t="shared" si="35"/>
        <v>1.1570628040602209</v>
      </c>
      <c r="P29" s="4">
        <f t="shared" si="36"/>
        <v>0.84293719593977912</v>
      </c>
      <c r="Q29" s="4">
        <f t="shared" si="5"/>
        <v>0</v>
      </c>
      <c r="R29" s="4">
        <f t="shared" si="6"/>
        <v>1.004103036615144</v>
      </c>
      <c r="S29" s="360">
        <f t="shared" si="7"/>
        <v>5.0411145406987655E-3</v>
      </c>
      <c r="T29" s="360">
        <f t="shared" si="8"/>
        <v>0.3</v>
      </c>
      <c r="U29" s="360">
        <f t="shared" si="9"/>
        <v>0.30516418394909928</v>
      </c>
      <c r="V29" s="4">
        <f t="shared" si="37"/>
        <v>9.0680252203845998E-2</v>
      </c>
      <c r="W29" s="360">
        <f t="shared" si="10"/>
        <v>1.6445816279506234E-5</v>
      </c>
      <c r="X29" s="360">
        <f t="shared" si="38"/>
        <v>1.6445816279506234E-5</v>
      </c>
      <c r="Y29" s="4">
        <f t="shared" si="11"/>
        <v>0.21281155889352571</v>
      </c>
      <c r="Z29" s="360">
        <f t="shared" si="12"/>
        <v>4.5288759598692557E-5</v>
      </c>
      <c r="AA29" s="541">
        <f t="shared" si="39"/>
        <v>4.5288759598692557E-5</v>
      </c>
      <c r="AB29" s="360">
        <f t="shared" si="13"/>
        <v>0.98014974940821942</v>
      </c>
      <c r="AC29" s="360">
        <f t="shared" si="14"/>
        <v>5.7641611875899725E-3</v>
      </c>
      <c r="AD29" s="360">
        <f t="shared" si="15"/>
        <v>7.4682348590881145E-2</v>
      </c>
      <c r="AE29" s="360">
        <f t="shared" si="16"/>
        <v>0.6042329999999998</v>
      </c>
      <c r="AF29" s="360">
        <f t="shared" si="17"/>
        <v>0</v>
      </c>
      <c r="AG29" s="360">
        <f t="shared" si="18"/>
        <v>0.68527991949348688</v>
      </c>
      <c r="AH29" s="360">
        <f t="shared" si="19"/>
        <v>0.21801233193275538</v>
      </c>
      <c r="AI29" s="360">
        <f t="shared" si="20"/>
        <v>1.1882344218689478E-4</v>
      </c>
      <c r="AJ29" s="360">
        <f t="shared" si="21"/>
        <v>3.9199999999999999E-2</v>
      </c>
      <c r="AK29" s="360">
        <f t="shared" si="22"/>
        <v>3.9319757863981966E-2</v>
      </c>
      <c r="AL29" s="360">
        <f t="shared" si="23"/>
        <v>3.9199999999999999E-2</v>
      </c>
      <c r="AM29" s="360">
        <f t="shared" si="24"/>
        <v>0.50399999999999989</v>
      </c>
      <c r="AN29" s="360">
        <f t="shared" si="25"/>
        <v>4.0328916325590124E-3</v>
      </c>
      <c r="AO29" s="360">
        <f t="shared" si="26"/>
        <v>7.3499999999999998E-4</v>
      </c>
      <c r="AP29" s="360">
        <f t="shared" si="27"/>
        <v>0.32999999999999996</v>
      </c>
      <c r="AQ29" s="360">
        <f t="shared" si="28"/>
        <v>1.2539999999999998</v>
      </c>
      <c r="AR29" s="360">
        <f t="shared" si="29"/>
        <v>1.0559999999999998</v>
      </c>
      <c r="AS29" s="360">
        <f t="shared" si="48"/>
        <v>0.33073499999999995</v>
      </c>
      <c r="AT29" s="360">
        <f t="shared" si="41"/>
        <v>1.9077934875150049</v>
      </c>
      <c r="AU29">
        <f t="shared" si="30"/>
        <v>20</v>
      </c>
      <c r="AV29" s="542">
        <f t="shared" si="42"/>
        <v>0.91291713204242897</v>
      </c>
      <c r="AW29" s="551">
        <f t="shared" si="31"/>
        <v>50.895995974674335</v>
      </c>
      <c r="AX29" s="551">
        <f t="shared" si="32"/>
        <v>7.814310798831313</v>
      </c>
      <c r="AY29" s="9"/>
      <c r="AZ29" s="4">
        <f t="shared" si="43"/>
        <v>91.291713204242896</v>
      </c>
      <c r="BA29" s="360">
        <f t="shared" si="33"/>
        <v>0.30516418394909928</v>
      </c>
      <c r="BB29" s="360">
        <f t="shared" si="44"/>
        <v>1.2285996773574688</v>
      </c>
      <c r="BC29" s="360">
        <f t="shared" si="45"/>
        <v>1.0179199194934867</v>
      </c>
      <c r="BD29" s="360">
        <f t="shared" si="46"/>
        <v>0.20563975786398192</v>
      </c>
      <c r="BE29" s="360">
        <f t="shared" si="47"/>
        <v>4.0328916325590124E-3</v>
      </c>
    </row>
    <row r="30" spans="1:65" x14ac:dyDescent="0.2">
      <c r="A30" s="22" t="s">
        <v>60</v>
      </c>
      <c r="B30" s="27">
        <f>RdsonDRB</f>
        <v>1</v>
      </c>
      <c r="C30" s="444" t="s">
        <v>116</v>
      </c>
      <c r="D30" s="440" t="s">
        <v>505</v>
      </c>
      <c r="G30">
        <v>21</v>
      </c>
      <c r="H30" s="548">
        <f t="shared" si="0"/>
        <v>21</v>
      </c>
      <c r="I30" s="4">
        <f t="shared" si="1"/>
        <v>1</v>
      </c>
      <c r="J30" s="360">
        <f t="shared" si="34"/>
        <v>1.05</v>
      </c>
      <c r="K30" s="4">
        <f t="shared" si="2"/>
        <v>1.1111111111111109</v>
      </c>
      <c r="L30" s="4"/>
      <c r="M30" s="360">
        <f t="shared" si="3"/>
        <v>0.9528821303276942</v>
      </c>
      <c r="N30" s="4">
        <f t="shared" si="4"/>
        <v>0.31395878057413656</v>
      </c>
      <c r="O30" s="4">
        <f t="shared" si="35"/>
        <v>1.2069793902870682</v>
      </c>
      <c r="P30" s="4">
        <f t="shared" si="36"/>
        <v>0.89302060971293173</v>
      </c>
      <c r="Q30" s="4">
        <f t="shared" si="5"/>
        <v>0</v>
      </c>
      <c r="R30" s="4">
        <f t="shared" si="6"/>
        <v>1.0539042538698506</v>
      </c>
      <c r="S30" s="360">
        <f t="shared" si="7"/>
        <v>5.5535708816248329E-3</v>
      </c>
      <c r="T30" s="360">
        <f t="shared" si="8"/>
        <v>0.3</v>
      </c>
      <c r="U30" s="360">
        <f t="shared" si="9"/>
        <v>0.30568938429470011</v>
      </c>
      <c r="V30" s="4">
        <f t="shared" si="37"/>
        <v>9.0632093239462197E-2</v>
      </c>
      <c r="W30" s="360">
        <f t="shared" si="10"/>
        <v>1.642835264993314E-5</v>
      </c>
      <c r="X30" s="360">
        <f t="shared" si="38"/>
        <v>1.642835264993314E-5</v>
      </c>
      <c r="Y30" s="4">
        <f t="shared" si="11"/>
        <v>0.22331277688886728</v>
      </c>
      <c r="Z30" s="360">
        <f t="shared" si="12"/>
        <v>4.986859632181701E-5</v>
      </c>
      <c r="AA30" s="541">
        <f t="shared" si="39"/>
        <v>4.986859632181701E-5</v>
      </c>
      <c r="AB30" s="360">
        <f t="shared" si="13"/>
        <v>1.0287758213146849</v>
      </c>
      <c r="AC30" s="360">
        <f t="shared" si="14"/>
        <v>6.3502781431302264E-3</v>
      </c>
      <c r="AD30" s="360">
        <f t="shared" si="15"/>
        <v>7.8416466020425207E-2</v>
      </c>
      <c r="AE30" s="360">
        <f t="shared" si="16"/>
        <v>0.6042329999999998</v>
      </c>
      <c r="AF30" s="360">
        <f t="shared" si="17"/>
        <v>0</v>
      </c>
      <c r="AG30" s="360">
        <f t="shared" si="18"/>
        <v>0.68966543840220795</v>
      </c>
      <c r="AH30" s="360">
        <f t="shared" si="19"/>
        <v>0.22876731804010439</v>
      </c>
      <c r="AI30" s="360">
        <f t="shared" si="20"/>
        <v>1.3083621450815568E-4</v>
      </c>
      <c r="AJ30" s="360">
        <f t="shared" si="21"/>
        <v>4.1160000000000002E-2</v>
      </c>
      <c r="AK30" s="360">
        <f t="shared" si="22"/>
        <v>4.1291916710122584E-2</v>
      </c>
      <c r="AL30" s="360">
        <f t="shared" si="23"/>
        <v>4.1160000000000002E-2</v>
      </c>
      <c r="AM30" s="360">
        <f t="shared" si="24"/>
        <v>0.52919999999999989</v>
      </c>
      <c r="AN30" s="360">
        <f t="shared" si="25"/>
        <v>4.4428567052998665E-3</v>
      </c>
      <c r="AO30" s="360">
        <f t="shared" si="26"/>
        <v>7.3499999999999998E-4</v>
      </c>
      <c r="AP30" s="360">
        <f t="shared" si="27"/>
        <v>0.32999999999999996</v>
      </c>
      <c r="AQ30" s="360">
        <f t="shared" si="28"/>
        <v>1.2539999999999998</v>
      </c>
      <c r="AR30" s="360">
        <f t="shared" si="29"/>
        <v>1.0559999999999998</v>
      </c>
      <c r="AS30" s="360">
        <f t="shared" si="48"/>
        <v>0.33073499999999995</v>
      </c>
      <c r="AT30" s="360">
        <f t="shared" si="41"/>
        <v>1.9422508930613023</v>
      </c>
      <c r="AU30">
        <f t="shared" si="30"/>
        <v>21</v>
      </c>
      <c r="AV30" s="542">
        <f t="shared" si="42"/>
        <v>0.91534174645223143</v>
      </c>
      <c r="AW30" s="551">
        <f t="shared" si="31"/>
        <v>51.946871920110397</v>
      </c>
      <c r="AX30" s="551">
        <f t="shared" si="32"/>
        <v>8.2052608349846583</v>
      </c>
      <c r="AY30" s="9"/>
      <c r="AZ30" s="4">
        <f t="shared" si="43"/>
        <v>91.534174645223146</v>
      </c>
      <c r="BA30" s="360">
        <f t="shared" si="33"/>
        <v>0.30568938429470011</v>
      </c>
      <c r="BB30" s="360">
        <f t="shared" si="44"/>
        <v>1.2601573551123304</v>
      </c>
      <c r="BC30" s="360">
        <f t="shared" si="45"/>
        <v>1.0389374384022079</v>
      </c>
      <c r="BD30" s="360">
        <f t="shared" si="46"/>
        <v>0.21592791671012257</v>
      </c>
      <c r="BE30" s="360">
        <f t="shared" si="47"/>
        <v>4.4428567052998665E-3</v>
      </c>
    </row>
    <row r="31" spans="1:65" x14ac:dyDescent="0.2">
      <c r="A31" s="22" t="s">
        <v>125</v>
      </c>
      <c r="B31" s="27">
        <v>1</v>
      </c>
      <c r="C31" s="444" t="s">
        <v>116</v>
      </c>
      <c r="D31" s="440" t="s">
        <v>504</v>
      </c>
      <c r="G31">
        <v>22</v>
      </c>
      <c r="H31" s="548">
        <f t="shared" si="0"/>
        <v>21</v>
      </c>
      <c r="I31" s="4">
        <f t="shared" si="1"/>
        <v>1</v>
      </c>
      <c r="J31" s="360">
        <f t="shared" si="34"/>
        <v>1.1000000000000001</v>
      </c>
      <c r="K31" s="4">
        <f t="shared" si="2"/>
        <v>1.164021164021164</v>
      </c>
      <c r="L31" s="4"/>
      <c r="M31" s="360">
        <f t="shared" si="3"/>
        <v>0.9529059953191702</v>
      </c>
      <c r="N31" s="4">
        <f t="shared" si="4"/>
        <v>0.31379194425860268</v>
      </c>
      <c r="O31" s="4">
        <f t="shared" si="35"/>
        <v>1.2568959721293014</v>
      </c>
      <c r="P31" s="4">
        <f t="shared" si="36"/>
        <v>0.9431040278706988</v>
      </c>
      <c r="Q31" s="4">
        <f t="shared" si="5"/>
        <v>0</v>
      </c>
      <c r="R31" s="4">
        <f t="shared" si="6"/>
        <v>1.1037234475583695</v>
      </c>
      <c r="S31" s="360">
        <f t="shared" si="7"/>
        <v>6.0910272434506639E-3</v>
      </c>
      <c r="T31" s="360">
        <f t="shared" si="8"/>
        <v>0.3</v>
      </c>
      <c r="U31" s="360">
        <f t="shared" si="9"/>
        <v>0.30624025266121069</v>
      </c>
      <c r="V31" s="4">
        <f t="shared" si="37"/>
        <v>9.0583931743620158E-2</v>
      </c>
      <c r="W31" s="360">
        <f t="shared" si="10"/>
        <v>1.6410897380265671E-5</v>
      </c>
      <c r="X31" s="360">
        <f t="shared" si="38"/>
        <v>1.6410897380265671E-5</v>
      </c>
      <c r="Y31" s="4">
        <f t="shared" si="11"/>
        <v>0.23381270688775879</v>
      </c>
      <c r="Z31" s="360">
        <f t="shared" si="12"/>
        <v>5.4668381902181007E-5</v>
      </c>
      <c r="AA31" s="541">
        <f t="shared" si="39"/>
        <v>5.4668381902181007E-5</v>
      </c>
      <c r="AB31" s="360">
        <f t="shared" si="13"/>
        <v>1.0774206586042925</v>
      </c>
      <c r="AC31" s="360">
        <f t="shared" si="14"/>
        <v>6.9650116535238437E-3</v>
      </c>
      <c r="AD31" s="360">
        <f t="shared" si="15"/>
        <v>8.2150583449969256E-2</v>
      </c>
      <c r="AE31" s="360">
        <f t="shared" si="16"/>
        <v>0.6042329999999998</v>
      </c>
      <c r="AF31" s="360">
        <f t="shared" si="17"/>
        <v>0</v>
      </c>
      <c r="AG31" s="360">
        <f t="shared" si="18"/>
        <v>0.69408340855591755</v>
      </c>
      <c r="AH31" s="360">
        <f t="shared" si="19"/>
        <v>0.23952071539394143</v>
      </c>
      <c r="AI31" s="360">
        <f t="shared" si="20"/>
        <v>1.4342543275706375E-4</v>
      </c>
      <c r="AJ31" s="360">
        <f t="shared" si="21"/>
        <v>4.3120000000000006E-2</v>
      </c>
      <c r="AK31" s="360">
        <f t="shared" si="22"/>
        <v>4.3264666483459766E-2</v>
      </c>
      <c r="AL31" s="360">
        <f t="shared" si="23"/>
        <v>4.3120000000000006E-2</v>
      </c>
      <c r="AM31" s="360">
        <f t="shared" si="24"/>
        <v>0.5544</v>
      </c>
      <c r="AN31" s="360">
        <f t="shared" si="25"/>
        <v>4.8728217947605311E-3</v>
      </c>
      <c r="AO31" s="360">
        <f t="shared" si="26"/>
        <v>7.3499999999999998E-4</v>
      </c>
      <c r="AP31" s="360">
        <f t="shared" si="27"/>
        <v>0.32999999999999996</v>
      </c>
      <c r="AQ31" s="360">
        <f t="shared" si="28"/>
        <v>1.2539999999999998</v>
      </c>
      <c r="AR31" s="360">
        <f t="shared" si="29"/>
        <v>1.0559999999999998</v>
      </c>
      <c r="AS31" s="360">
        <f t="shared" si="48"/>
        <v>0.33073499999999995</v>
      </c>
      <c r="AT31" s="360">
        <f t="shared" si="41"/>
        <v>1.9767872287746309</v>
      </c>
      <c r="AU31">
        <f t="shared" si="30"/>
        <v>22</v>
      </c>
      <c r="AV31" s="542">
        <f t="shared" si="42"/>
        <v>0.91755412391522251</v>
      </c>
      <c r="AW31" s="551">
        <f t="shared" si="31"/>
        <v>52.999370427795881</v>
      </c>
      <c r="AX31" s="551">
        <f t="shared" si="32"/>
        <v>8.5962333263714719</v>
      </c>
      <c r="AY31" s="9"/>
      <c r="AZ31" s="4">
        <f t="shared" si="43"/>
        <v>91.755412391522256</v>
      </c>
      <c r="BA31" s="360">
        <f t="shared" si="33"/>
        <v>0.30624025266121069</v>
      </c>
      <c r="BB31" s="360">
        <f t="shared" si="44"/>
        <v>1.2917480750393773</v>
      </c>
      <c r="BC31" s="360">
        <f t="shared" si="45"/>
        <v>1.0599874085559176</v>
      </c>
      <c r="BD31" s="360">
        <f t="shared" si="46"/>
        <v>0.22621666648345978</v>
      </c>
      <c r="BE31" s="360">
        <f t="shared" si="47"/>
        <v>4.8728217947605311E-3</v>
      </c>
    </row>
    <row r="32" spans="1:65" x14ac:dyDescent="0.2">
      <c r="A32" s="24" t="s">
        <v>62</v>
      </c>
      <c r="B32" s="15" t="s">
        <v>111</v>
      </c>
      <c r="C32" s="24" t="s">
        <v>76</v>
      </c>
      <c r="D32" s="17" t="s">
        <v>107</v>
      </c>
      <c r="G32">
        <v>23</v>
      </c>
      <c r="H32" s="548">
        <f t="shared" si="0"/>
        <v>21</v>
      </c>
      <c r="I32" s="4">
        <f t="shared" si="1"/>
        <v>1</v>
      </c>
      <c r="J32" s="360">
        <f t="shared" si="34"/>
        <v>1.1499999999999999</v>
      </c>
      <c r="K32" s="4">
        <f t="shared" si="2"/>
        <v>1.2169312169312168</v>
      </c>
      <c r="L32" s="4"/>
      <c r="M32" s="360">
        <f t="shared" si="3"/>
        <v>0.95292986025382631</v>
      </c>
      <c r="N32" s="4">
        <f t="shared" si="4"/>
        <v>0.31362509917387155</v>
      </c>
      <c r="O32" s="4">
        <f t="shared" si="35"/>
        <v>1.3068125495869356</v>
      </c>
      <c r="P32" s="4">
        <f t="shared" si="36"/>
        <v>0.99318745041306411</v>
      </c>
      <c r="Q32" s="4">
        <f t="shared" si="5"/>
        <v>0</v>
      </c>
      <c r="R32" s="4">
        <f t="shared" si="6"/>
        <v>1.1535582886165678</v>
      </c>
      <c r="S32" s="360">
        <f t="shared" si="7"/>
        <v>6.6534836261799247E-3</v>
      </c>
      <c r="T32" s="360">
        <f t="shared" si="8"/>
        <v>0.3</v>
      </c>
      <c r="U32" s="360">
        <f t="shared" si="9"/>
        <v>0.30681679566827719</v>
      </c>
      <c r="V32" s="4">
        <f t="shared" si="37"/>
        <v>9.0535767716328916E-2</v>
      </c>
      <c r="W32" s="360">
        <f t="shared" si="10"/>
        <v>1.6393450471970131E-5</v>
      </c>
      <c r="X32" s="360">
        <f t="shared" si="38"/>
        <v>1.6393450471970131E-5</v>
      </c>
      <c r="Y32" s="4">
        <f t="shared" si="11"/>
        <v>0.24431085063795657</v>
      </c>
      <c r="Z32" s="360">
        <f t="shared" si="12"/>
        <v>5.9687791739441931E-5</v>
      </c>
      <c r="AA32" s="541">
        <f t="shared" si="39"/>
        <v>5.9687791739441931E-5</v>
      </c>
      <c r="AB32" s="360">
        <f t="shared" si="13"/>
        <v>1.1260819883202782</v>
      </c>
      <c r="AC32" s="360">
        <f t="shared" si="14"/>
        <v>7.6083638665161071E-3</v>
      </c>
      <c r="AD32" s="360">
        <f t="shared" si="15"/>
        <v>8.5884700879513318E-2</v>
      </c>
      <c r="AE32" s="360">
        <f t="shared" si="16"/>
        <v>0.6042329999999998</v>
      </c>
      <c r="AF32" s="360">
        <f t="shared" si="17"/>
        <v>0</v>
      </c>
      <c r="AG32" s="360">
        <f t="shared" si="18"/>
        <v>0.69853389915786834</v>
      </c>
      <c r="AH32" s="360">
        <f t="shared" si="19"/>
        <v>0.25027201365041496</v>
      </c>
      <c r="AI32" s="360">
        <f t="shared" si="20"/>
        <v>1.5659020204158373E-4</v>
      </c>
      <c r="AJ32" s="360">
        <f t="shared" si="21"/>
        <v>4.5079999999999995E-2</v>
      </c>
      <c r="AK32" s="360">
        <f t="shared" si="22"/>
        <v>4.5238006967771791E-2</v>
      </c>
      <c r="AL32" s="360">
        <f t="shared" si="23"/>
        <v>4.5079999999999995E-2</v>
      </c>
      <c r="AM32" s="360">
        <f t="shared" si="24"/>
        <v>0.57959999999999989</v>
      </c>
      <c r="AN32" s="360">
        <f t="shared" si="25"/>
        <v>5.3227869009439396E-3</v>
      </c>
      <c r="AO32" s="360">
        <f t="shared" si="26"/>
        <v>7.3499999999999998E-4</v>
      </c>
      <c r="AP32" s="360">
        <f t="shared" si="27"/>
        <v>0.32999999999999996</v>
      </c>
      <c r="AQ32" s="360">
        <f t="shared" si="28"/>
        <v>1.2539999999999998</v>
      </c>
      <c r="AR32" s="360">
        <f t="shared" si="29"/>
        <v>1.0559999999999998</v>
      </c>
      <c r="AS32" s="360">
        <f t="shared" si="48"/>
        <v>0.33073499999999995</v>
      </c>
      <c r="AT32" s="360">
        <f t="shared" si="41"/>
        <v>2.0114025699370726</v>
      </c>
      <c r="AU32">
        <f t="shared" si="30"/>
        <v>23</v>
      </c>
      <c r="AV32" s="542">
        <f t="shared" si="42"/>
        <v>0.91958057672644411</v>
      </c>
      <c r="AW32" s="551">
        <f t="shared" si="31"/>
        <v>54.053494957893413</v>
      </c>
      <c r="AX32" s="551">
        <f t="shared" si="32"/>
        <v>8.987228264775327</v>
      </c>
      <c r="AY32" s="9"/>
      <c r="AZ32" s="4">
        <f t="shared" si="43"/>
        <v>91.958057672644415</v>
      </c>
      <c r="BA32" s="360">
        <f t="shared" si="33"/>
        <v>0.30681679566827719</v>
      </c>
      <c r="BB32" s="360">
        <f t="shared" si="44"/>
        <v>1.3233719061256402</v>
      </c>
      <c r="BC32" s="360">
        <f t="shared" si="45"/>
        <v>1.0810698991578682</v>
      </c>
      <c r="BD32" s="360">
        <f t="shared" si="46"/>
        <v>0.23650600696777174</v>
      </c>
      <c r="BE32" s="360">
        <f t="shared" si="47"/>
        <v>5.3227869009439396E-3</v>
      </c>
    </row>
    <row r="33" spans="1:57" x14ac:dyDescent="0.2">
      <c r="A33" s="22" t="s">
        <v>62</v>
      </c>
      <c r="B33" s="5">
        <f>Deadtime*1000000000</f>
        <v>14</v>
      </c>
      <c r="C33" s="440" t="s">
        <v>75</v>
      </c>
      <c r="D33" s="21" t="s">
        <v>98</v>
      </c>
      <c r="G33">
        <v>24</v>
      </c>
      <c r="H33" s="548">
        <f t="shared" si="0"/>
        <v>21</v>
      </c>
      <c r="I33" s="4">
        <f t="shared" si="1"/>
        <v>1</v>
      </c>
      <c r="J33" s="360">
        <f t="shared" si="34"/>
        <v>1.2</v>
      </c>
      <c r="K33" s="4">
        <f t="shared" si="2"/>
        <v>1.2698412698412698</v>
      </c>
      <c r="L33" s="4"/>
      <c r="M33" s="360">
        <f t="shared" si="3"/>
        <v>0.95295372513166288</v>
      </c>
      <c r="N33" s="4">
        <f t="shared" si="4"/>
        <v>0.31345824531997463</v>
      </c>
      <c r="O33" s="4">
        <f t="shared" si="35"/>
        <v>1.3567291226599874</v>
      </c>
      <c r="P33" s="4">
        <f t="shared" si="36"/>
        <v>1.0432708773400126</v>
      </c>
      <c r="Q33" s="4">
        <f t="shared" si="5"/>
        <v>0</v>
      </c>
      <c r="R33" s="4">
        <f t="shared" si="6"/>
        <v>1.2034068331047718</v>
      </c>
      <c r="S33" s="360">
        <f t="shared" si="7"/>
        <v>7.2409400298162809E-3</v>
      </c>
      <c r="T33" s="360">
        <f t="shared" si="8"/>
        <v>0.3</v>
      </c>
      <c r="U33" s="360">
        <f t="shared" si="9"/>
        <v>0.3074190202449858</v>
      </c>
      <c r="V33" s="4">
        <f t="shared" si="37"/>
        <v>9.0487601157597561E-2</v>
      </c>
      <c r="W33" s="360">
        <f t="shared" si="10"/>
        <v>1.6376011926512905E-5</v>
      </c>
      <c r="X33" s="360">
        <f t="shared" si="38"/>
        <v>1.6376011926512905E-5</v>
      </c>
      <c r="Y33" s="4">
        <f t="shared" si="11"/>
        <v>0.25480679190443922</v>
      </c>
      <c r="Z33" s="360">
        <f t="shared" si="12"/>
        <v>6.4926501200632193E-5</v>
      </c>
      <c r="AA33" s="541">
        <f t="shared" si="39"/>
        <v>6.4926501200632193E-5</v>
      </c>
      <c r="AB33" s="360">
        <f t="shared" si="13"/>
        <v>1.1747579133479713</v>
      </c>
      <c r="AC33" s="360">
        <f t="shared" si="14"/>
        <v>8.2803369298420776E-3</v>
      </c>
      <c r="AD33" s="360">
        <f t="shared" si="15"/>
        <v>8.961881830905738E-2</v>
      </c>
      <c r="AE33" s="360">
        <f t="shared" si="16"/>
        <v>0.6042329999999998</v>
      </c>
      <c r="AF33" s="360">
        <f t="shared" si="17"/>
        <v>0</v>
      </c>
      <c r="AG33" s="360">
        <f t="shared" si="18"/>
        <v>0.70301698029346227</v>
      </c>
      <c r="AH33" s="360">
        <f t="shared" si="19"/>
        <v>0.26102078650861582</v>
      </c>
      <c r="AI33" s="360">
        <f t="shared" si="20"/>
        <v>1.7032962747394101E-4</v>
      </c>
      <c r="AJ33" s="360">
        <f t="shared" si="21"/>
        <v>4.7039999999999998E-2</v>
      </c>
      <c r="AK33" s="360">
        <f t="shared" si="22"/>
        <v>4.7211937945834462E-2</v>
      </c>
      <c r="AL33" s="360">
        <f t="shared" si="23"/>
        <v>4.7039999999999998E-2</v>
      </c>
      <c r="AM33" s="360">
        <f t="shared" si="24"/>
        <v>0.6048</v>
      </c>
      <c r="AN33" s="360">
        <f t="shared" si="25"/>
        <v>5.7927520238530246E-3</v>
      </c>
      <c r="AO33" s="360">
        <f t="shared" si="26"/>
        <v>7.3499999999999998E-4</v>
      </c>
      <c r="AP33" s="360">
        <f t="shared" si="27"/>
        <v>0.32999999999999996</v>
      </c>
      <c r="AQ33" s="360">
        <f t="shared" si="28"/>
        <v>1.2539999999999998</v>
      </c>
      <c r="AR33" s="360">
        <f t="shared" si="29"/>
        <v>1.0559999999999998</v>
      </c>
      <c r="AS33" s="360">
        <f t="shared" si="48"/>
        <v>0.33073499999999995</v>
      </c>
      <c r="AT33" s="360">
        <f t="shared" si="41"/>
        <v>2.0460969930212625</v>
      </c>
      <c r="AU33">
        <f t="shared" si="30"/>
        <v>24</v>
      </c>
      <c r="AV33" s="542">
        <f t="shared" si="42"/>
        <v>0.9214432399000323</v>
      </c>
      <c r="AW33" s="551">
        <f t="shared" si="31"/>
        <v>55.109249014673111</v>
      </c>
      <c r="AX33" s="551">
        <f t="shared" si="32"/>
        <v>9.3782456419417102</v>
      </c>
      <c r="AY33" s="9"/>
      <c r="AZ33" s="4">
        <f t="shared" si="43"/>
        <v>92.14432399000323</v>
      </c>
      <c r="BA33" s="360">
        <f t="shared" si="33"/>
        <v>0.3074190202449858</v>
      </c>
      <c r="BB33" s="360">
        <f t="shared" si="44"/>
        <v>1.3550289182392967</v>
      </c>
      <c r="BC33" s="360">
        <f t="shared" si="45"/>
        <v>1.1021849802934622</v>
      </c>
      <c r="BD33" s="360">
        <f t="shared" si="46"/>
        <v>0.24679593794583449</v>
      </c>
      <c r="BE33" s="360">
        <f t="shared" si="47"/>
        <v>5.7927520238530246E-3</v>
      </c>
    </row>
    <row r="34" spans="1:57" x14ac:dyDescent="0.2">
      <c r="A34" s="24" t="s">
        <v>52</v>
      </c>
      <c r="B34" s="15" t="s">
        <v>111</v>
      </c>
      <c r="C34" s="24" t="s">
        <v>76</v>
      </c>
      <c r="D34" s="17" t="s">
        <v>107</v>
      </c>
      <c r="G34">
        <v>25</v>
      </c>
      <c r="H34" s="548">
        <f t="shared" si="0"/>
        <v>21</v>
      </c>
      <c r="I34" s="4">
        <f t="shared" si="1"/>
        <v>1</v>
      </c>
      <c r="J34" s="360">
        <f t="shared" si="34"/>
        <v>1.25</v>
      </c>
      <c r="K34" s="4">
        <f t="shared" si="2"/>
        <v>1.3227513227513226</v>
      </c>
      <c r="L34" s="4"/>
      <c r="M34" s="360">
        <f t="shared" si="3"/>
        <v>0.95297758995267989</v>
      </c>
      <c r="N34" s="4">
        <f t="shared" si="4"/>
        <v>0.31329138269694295</v>
      </c>
      <c r="O34" s="4">
        <f t="shared" si="35"/>
        <v>1.4066456913484715</v>
      </c>
      <c r="P34" s="4">
        <f t="shared" si="36"/>
        <v>1.0933543086515285</v>
      </c>
      <c r="Q34" s="4">
        <f t="shared" si="5"/>
        <v>0</v>
      </c>
      <c r="R34" s="4">
        <f t="shared" si="6"/>
        <v>1.2532674458680717</v>
      </c>
      <c r="S34" s="360">
        <f t="shared" si="7"/>
        <v>7.8533964543634014E-3</v>
      </c>
      <c r="T34" s="360">
        <f t="shared" si="8"/>
        <v>0.3</v>
      </c>
      <c r="U34" s="360">
        <f t="shared" si="9"/>
        <v>0.30804693363007118</v>
      </c>
      <c r="V34" s="4">
        <f t="shared" si="37"/>
        <v>9.0439432067435044E-2</v>
      </c>
      <c r="W34" s="360">
        <f t="shared" si="10"/>
        <v>1.6358581745360395E-5</v>
      </c>
      <c r="X34" s="360">
        <f t="shared" si="38"/>
        <v>1.6358581745360395E-5</v>
      </c>
      <c r="Y34" s="4">
        <f t="shared" si="11"/>
        <v>0.26530018021132262</v>
      </c>
      <c r="Z34" s="360">
        <f t="shared" si="12"/>
        <v>7.0384185620160256E-5</v>
      </c>
      <c r="AA34" s="541">
        <f t="shared" si="39"/>
        <v>7.0384185620160256E-5</v>
      </c>
      <c r="AB34" s="360">
        <f t="shared" si="13"/>
        <v>1.2234468379150893</v>
      </c>
      <c r="AC34" s="360">
        <f t="shared" si="14"/>
        <v>8.9809329912265857E-3</v>
      </c>
      <c r="AD34" s="360">
        <f t="shared" si="15"/>
        <v>9.3352935738601428E-2</v>
      </c>
      <c r="AE34" s="360">
        <f t="shared" si="16"/>
        <v>0.6042329999999998</v>
      </c>
      <c r="AF34" s="360">
        <f t="shared" si="17"/>
        <v>0</v>
      </c>
      <c r="AG34" s="360">
        <f t="shared" si="18"/>
        <v>0.70753272293384062</v>
      </c>
      <c r="AH34" s="360">
        <f t="shared" si="19"/>
        <v>0.27176667505095087</v>
      </c>
      <c r="AI34" s="360">
        <f t="shared" si="20"/>
        <v>1.8464281417062279E-4</v>
      </c>
      <c r="AJ34" s="360">
        <f t="shared" si="21"/>
        <v>4.9000000000000002E-2</v>
      </c>
      <c r="AK34" s="360">
        <f t="shared" si="22"/>
        <v>4.918645919941976E-2</v>
      </c>
      <c r="AL34" s="360">
        <f t="shared" si="23"/>
        <v>4.9000000000000002E-2</v>
      </c>
      <c r="AM34" s="360">
        <f t="shared" si="24"/>
        <v>0.63</v>
      </c>
      <c r="AN34" s="360">
        <f t="shared" si="25"/>
        <v>6.2827171634907203E-3</v>
      </c>
      <c r="AO34" s="360">
        <f t="shared" si="26"/>
        <v>7.3499999999999998E-4</v>
      </c>
      <c r="AP34" s="360">
        <f t="shared" si="27"/>
        <v>0.32999999999999996</v>
      </c>
      <c r="AQ34" s="360">
        <f t="shared" si="28"/>
        <v>1.2539999999999998</v>
      </c>
      <c r="AR34" s="360">
        <f t="shared" si="29"/>
        <v>1.0559999999999998</v>
      </c>
      <c r="AS34" s="360">
        <f t="shared" si="48"/>
        <v>0.33073499999999995</v>
      </c>
      <c r="AT34" s="360">
        <f t="shared" si="41"/>
        <v>2.0808705756941879</v>
      </c>
      <c r="AU34">
        <f t="shared" si="30"/>
        <v>25</v>
      </c>
      <c r="AV34" s="542">
        <f t="shared" si="42"/>
        <v>0.92316086848545309</v>
      </c>
      <c r="AW34" s="551">
        <f t="shared" si="31"/>
        <v>56.166636146692028</v>
      </c>
      <c r="AX34" s="551">
        <f t="shared" si="32"/>
        <v>9.76928544957795</v>
      </c>
      <c r="AY34" s="9"/>
      <c r="AZ34" s="4">
        <f t="shared" si="43"/>
        <v>92.316086848545311</v>
      </c>
      <c r="BA34" s="360">
        <f t="shared" si="33"/>
        <v>0.30804693363007118</v>
      </c>
      <c r="BB34" s="360">
        <f t="shared" si="44"/>
        <v>1.3867191821332603</v>
      </c>
      <c r="BC34" s="360">
        <f t="shared" si="45"/>
        <v>1.1233327229338406</v>
      </c>
      <c r="BD34" s="360">
        <f t="shared" si="46"/>
        <v>0.25708645919941975</v>
      </c>
      <c r="BE34" s="360">
        <f t="shared" si="47"/>
        <v>6.2827171634907203E-3</v>
      </c>
    </row>
    <row r="35" spans="1:57" x14ac:dyDescent="0.2">
      <c r="A35" s="22" t="s">
        <v>128</v>
      </c>
      <c r="B35" s="5">
        <f>Iq*1000</f>
        <v>3.4999999999999996E-2</v>
      </c>
      <c r="C35" s="440" t="s">
        <v>64</v>
      </c>
      <c r="D35" s="21" t="s">
        <v>131</v>
      </c>
      <c r="G35">
        <v>26</v>
      </c>
      <c r="H35" s="548">
        <f t="shared" si="0"/>
        <v>21</v>
      </c>
      <c r="I35" s="4">
        <f t="shared" si="1"/>
        <v>1</v>
      </c>
      <c r="J35" s="360">
        <f t="shared" si="34"/>
        <v>1.3</v>
      </c>
      <c r="K35" s="4">
        <f t="shared" si="2"/>
        <v>1.3756613756613756</v>
      </c>
      <c r="L35" s="4"/>
      <c r="M35" s="360">
        <f t="shared" si="3"/>
        <v>0.95300145471687769</v>
      </c>
      <c r="N35" s="4">
        <f t="shared" si="4"/>
        <v>0.31312451130480923</v>
      </c>
      <c r="O35" s="4">
        <f t="shared" si="35"/>
        <v>1.4565622556524047</v>
      </c>
      <c r="P35" s="4">
        <f t="shared" si="36"/>
        <v>1.1434377443475954</v>
      </c>
      <c r="Q35" s="4">
        <f t="shared" si="5"/>
        <v>0</v>
      </c>
      <c r="R35" s="4">
        <f t="shared" si="6"/>
        <v>1.3031387416407316</v>
      </c>
      <c r="S35" s="360">
        <f t="shared" si="7"/>
        <v>8.4908528998249473E-3</v>
      </c>
      <c r="T35" s="360">
        <f t="shared" si="8"/>
        <v>0.3</v>
      </c>
      <c r="U35" s="360">
        <f t="shared" si="9"/>
        <v>0.30870054337213443</v>
      </c>
      <c r="V35" s="4">
        <f t="shared" si="37"/>
        <v>9.0391260445850816E-2</v>
      </c>
      <c r="W35" s="360">
        <f t="shared" si="10"/>
        <v>1.6341159929979268E-5</v>
      </c>
      <c r="X35" s="360">
        <f t="shared" si="38"/>
        <v>1.6341159929979268E-5</v>
      </c>
      <c r="Y35" s="4">
        <f t="shared" si="11"/>
        <v>0.27579071829887652</v>
      </c>
      <c r="Z35" s="360">
        <f t="shared" si="12"/>
        <v>7.6060520299810262E-5</v>
      </c>
      <c r="AA35" s="541">
        <f t="shared" si="39"/>
        <v>7.6060520299810262E-5</v>
      </c>
      <c r="AB35" s="360">
        <f t="shared" si="13"/>
        <v>1.2721474101156827</v>
      </c>
      <c r="AC35" s="360">
        <f t="shared" si="14"/>
        <v>9.710154198384233E-3</v>
      </c>
      <c r="AD35" s="360">
        <f t="shared" si="15"/>
        <v>9.708705316814549E-2</v>
      </c>
      <c r="AE35" s="360">
        <f t="shared" si="16"/>
        <v>0.6042329999999998</v>
      </c>
      <c r="AF35" s="360">
        <f t="shared" si="17"/>
        <v>0</v>
      </c>
      <c r="AG35" s="360">
        <f t="shared" si="18"/>
        <v>0.71208119893953747</v>
      </c>
      <c r="AH35" s="360">
        <f t="shared" si="19"/>
        <v>0.28250937489037536</v>
      </c>
      <c r="AI35" s="360">
        <f t="shared" si="20"/>
        <v>1.9952886725237661E-4</v>
      </c>
      <c r="AJ35" s="360">
        <f t="shared" si="21"/>
        <v>5.0959999999999998E-2</v>
      </c>
      <c r="AK35" s="360">
        <f t="shared" si="22"/>
        <v>5.1161570509294492E-2</v>
      </c>
      <c r="AL35" s="360">
        <f t="shared" si="23"/>
        <v>5.0959999999999998E-2</v>
      </c>
      <c r="AM35" s="360">
        <f t="shared" si="24"/>
        <v>0.6552</v>
      </c>
      <c r="AN35" s="360">
        <f t="shared" si="25"/>
        <v>6.7926823198599584E-3</v>
      </c>
      <c r="AO35" s="360">
        <f t="shared" si="26"/>
        <v>7.3499999999999998E-4</v>
      </c>
      <c r="AP35" s="360">
        <f t="shared" si="27"/>
        <v>0.32999999999999996</v>
      </c>
      <c r="AQ35" s="360">
        <f t="shared" si="28"/>
        <v>1.2539999999999998</v>
      </c>
      <c r="AR35" s="360">
        <f t="shared" si="29"/>
        <v>1.0559999999999998</v>
      </c>
      <c r="AS35" s="360">
        <f t="shared" si="48"/>
        <v>0.33073499999999995</v>
      </c>
      <c r="AT35" s="360">
        <f t="shared" si="41"/>
        <v>2.115723396821056</v>
      </c>
      <c r="AU35">
        <f t="shared" si="30"/>
        <v>26</v>
      </c>
      <c r="AV35" s="542">
        <f t="shared" si="42"/>
        <v>0.92474945897852034</v>
      </c>
      <c r="AW35" s="551">
        <f t="shared" si="31"/>
        <v>57.225659946976883</v>
      </c>
      <c r="AX35" s="551">
        <f t="shared" si="32"/>
        <v>10.16034767935319</v>
      </c>
      <c r="AY35" s="9"/>
      <c r="AZ35" s="4">
        <f t="shared" si="43"/>
        <v>92.474945897852038</v>
      </c>
      <c r="BA35" s="360">
        <f t="shared" si="33"/>
        <v>0.30870054337213443</v>
      </c>
      <c r="BB35" s="360">
        <f t="shared" si="44"/>
        <v>1.418442769448832</v>
      </c>
      <c r="BC35" s="360">
        <f t="shared" si="45"/>
        <v>1.1445131989395376</v>
      </c>
      <c r="BD35" s="360">
        <f t="shared" si="46"/>
        <v>0.2673775705092945</v>
      </c>
      <c r="BE35" s="360">
        <f t="shared" si="47"/>
        <v>6.7926823198599584E-3</v>
      </c>
    </row>
    <row r="36" spans="1:57" x14ac:dyDescent="0.2">
      <c r="A36" s="24" t="s">
        <v>525</v>
      </c>
      <c r="B36" s="15" t="s">
        <v>111</v>
      </c>
      <c r="C36" s="24" t="s">
        <v>76</v>
      </c>
      <c r="D36" s="17" t="s">
        <v>107</v>
      </c>
      <c r="G36">
        <v>27</v>
      </c>
      <c r="H36" s="548">
        <f t="shared" si="0"/>
        <v>21</v>
      </c>
      <c r="I36" s="4">
        <f t="shared" si="1"/>
        <v>1</v>
      </c>
      <c r="J36" s="360">
        <f t="shared" si="34"/>
        <v>1.35</v>
      </c>
      <c r="K36" s="4">
        <f t="shared" si="2"/>
        <v>1.4285714285714284</v>
      </c>
      <c r="L36" s="4"/>
      <c r="M36" s="360">
        <f t="shared" si="3"/>
        <v>0.95302531942425661</v>
      </c>
      <c r="N36" s="4">
        <f t="shared" si="4"/>
        <v>0.31295763114360242</v>
      </c>
      <c r="O36" s="4">
        <f t="shared" si="35"/>
        <v>1.5064788155718012</v>
      </c>
      <c r="P36" s="4">
        <f t="shared" si="36"/>
        <v>1.193521184428199</v>
      </c>
      <c r="Q36" s="4">
        <f t="shared" si="5"/>
        <v>0</v>
      </c>
      <c r="R36" s="4">
        <f t="shared" si="6"/>
        <v>1.3530195391201556</v>
      </c>
      <c r="S36" s="360">
        <f t="shared" si="7"/>
        <v>9.1533093662045911E-3</v>
      </c>
      <c r="T36" s="360">
        <f t="shared" si="8"/>
        <v>0.3</v>
      </c>
      <c r="U36" s="360">
        <f t="shared" si="9"/>
        <v>0.30937985732986956</v>
      </c>
      <c r="V36" s="4">
        <f t="shared" si="37"/>
        <v>9.0343086292853245E-2</v>
      </c>
      <c r="W36" s="360">
        <f t="shared" si="10"/>
        <v>1.6323746481835858E-5</v>
      </c>
      <c r="X36" s="360">
        <f t="shared" si="38"/>
        <v>1.6323746481835858E-5</v>
      </c>
      <c r="Y36" s="4">
        <f t="shared" si="11"/>
        <v>0.28627815234268694</v>
      </c>
      <c r="Z36" s="360">
        <f t="shared" si="12"/>
        <v>8.1955180508742675E-5</v>
      </c>
      <c r="AA36" s="541">
        <f t="shared" si="39"/>
        <v>8.1955180508742675E-5</v>
      </c>
      <c r="AB36" s="360">
        <f t="shared" si="13"/>
        <v>1.3208584770910297</v>
      </c>
      <c r="AC36" s="360">
        <f t="shared" si="14"/>
        <v>1.0468002699019405E-2</v>
      </c>
      <c r="AD36" s="360">
        <f t="shared" si="15"/>
        <v>0.10082117059768955</v>
      </c>
      <c r="AE36" s="360">
        <f t="shared" si="16"/>
        <v>0.6042329999999998</v>
      </c>
      <c r="AF36" s="360">
        <f t="shared" si="17"/>
        <v>0</v>
      </c>
      <c r="AG36" s="360">
        <f t="shared" si="18"/>
        <v>0.71666248106419084</v>
      </c>
      <c r="AH36" s="360">
        <f t="shared" si="19"/>
        <v>0.29324862614799097</v>
      </c>
      <c r="AI36" s="360">
        <f t="shared" si="20"/>
        <v>2.1498689184421043E-4</v>
      </c>
      <c r="AJ36" s="360">
        <f t="shared" si="21"/>
        <v>5.2920000000000002E-2</v>
      </c>
      <c r="AK36" s="360">
        <f t="shared" si="22"/>
        <v>5.3137271655219059E-2</v>
      </c>
      <c r="AL36" s="360">
        <f t="shared" si="23"/>
        <v>5.2920000000000002E-2</v>
      </c>
      <c r="AM36" s="360">
        <f t="shared" si="24"/>
        <v>0.6804</v>
      </c>
      <c r="AN36" s="360">
        <f t="shared" si="25"/>
        <v>7.3226474929636732E-3</v>
      </c>
      <c r="AO36" s="360">
        <f t="shared" si="26"/>
        <v>7.3499999999999998E-4</v>
      </c>
      <c r="AP36" s="360">
        <f t="shared" si="27"/>
        <v>0.32999999999999996</v>
      </c>
      <c r="AQ36" s="360">
        <f t="shared" si="28"/>
        <v>1.2539999999999998</v>
      </c>
      <c r="AR36" s="360">
        <f t="shared" si="29"/>
        <v>1.0559999999999998</v>
      </c>
      <c r="AS36" s="360">
        <f t="shared" si="48"/>
        <v>0.33073499999999995</v>
      </c>
      <c r="AT36" s="360">
        <f t="shared" si="41"/>
        <v>2.1506555364692335</v>
      </c>
      <c r="AU36">
        <f t="shared" si="30"/>
        <v>27</v>
      </c>
      <c r="AV36" s="542">
        <f t="shared" si="42"/>
        <v>0.92622273849798564</v>
      </c>
      <c r="AW36" s="551">
        <f t="shared" si="31"/>
        <v>58.286324053209547</v>
      </c>
      <c r="AX36" s="551">
        <f t="shared" si="32"/>
        <v>10.551432322898323</v>
      </c>
      <c r="AY36" s="9"/>
      <c r="AZ36" s="4">
        <f t="shared" si="43"/>
        <v>92.62227384979856</v>
      </c>
      <c r="BA36" s="360">
        <f t="shared" si="33"/>
        <v>0.30937985732986956</v>
      </c>
      <c r="BB36" s="360">
        <f t="shared" si="44"/>
        <v>1.4501997527194099</v>
      </c>
      <c r="BC36" s="360">
        <f t="shared" si="45"/>
        <v>1.165726481064191</v>
      </c>
      <c r="BD36" s="360">
        <f t="shared" si="46"/>
        <v>0.27766927165521904</v>
      </c>
      <c r="BE36" s="360">
        <f t="shared" si="47"/>
        <v>7.3226474929636732E-3</v>
      </c>
    </row>
    <row r="37" spans="1:57" x14ac:dyDescent="0.2">
      <c r="A37" s="23" t="s">
        <v>71</v>
      </c>
      <c r="B37" s="5">
        <f>Rdson3*1000</f>
        <v>6</v>
      </c>
      <c r="C37" s="442" t="s">
        <v>466</v>
      </c>
      <c r="D37" s="440" t="s">
        <v>528</v>
      </c>
      <c r="G37">
        <v>28</v>
      </c>
      <c r="H37" s="548">
        <f t="shared" si="0"/>
        <v>21</v>
      </c>
      <c r="I37" s="4">
        <f t="shared" si="1"/>
        <v>1</v>
      </c>
      <c r="J37" s="360">
        <f t="shared" si="34"/>
        <v>1.4</v>
      </c>
      <c r="K37" s="4">
        <f t="shared" si="2"/>
        <v>1.4814814814814814</v>
      </c>
      <c r="L37" s="4"/>
      <c r="M37" s="360">
        <f t="shared" si="3"/>
        <v>0.95304918407481665</v>
      </c>
      <c r="N37" s="4">
        <f t="shared" si="4"/>
        <v>0.31279074221335496</v>
      </c>
      <c r="O37" s="4">
        <f t="shared" si="35"/>
        <v>1.5563953711066774</v>
      </c>
      <c r="P37" s="4">
        <f t="shared" si="36"/>
        <v>1.2436046288933225</v>
      </c>
      <c r="Q37" s="4">
        <f t="shared" si="5"/>
        <v>0</v>
      </c>
      <c r="R37" s="4">
        <f t="shared" si="6"/>
        <v>1.4029088247998149</v>
      </c>
      <c r="S37" s="360">
        <f t="shared" si="7"/>
        <v>9.8407658535059894E-3</v>
      </c>
      <c r="T37" s="360">
        <f t="shared" si="8"/>
        <v>0.3</v>
      </c>
      <c r="U37" s="360">
        <f t="shared" si="9"/>
        <v>0.31008488367230042</v>
      </c>
      <c r="V37" s="4">
        <f t="shared" si="37"/>
        <v>9.0294909608451671E-2</v>
      </c>
      <c r="W37" s="360">
        <f t="shared" si="10"/>
        <v>1.6306341402396916E-5</v>
      </c>
      <c r="X37" s="360">
        <f t="shared" si="38"/>
        <v>1.6306341402396916E-5</v>
      </c>
      <c r="Y37" s="4">
        <f t="shared" si="11"/>
        <v>0.29676226425119384</v>
      </c>
      <c r="Z37" s="360">
        <f t="shared" si="12"/>
        <v>8.8067841483495401E-5</v>
      </c>
      <c r="AA37" s="541">
        <f t="shared" si="39"/>
        <v>8.8067841483495401E-5</v>
      </c>
      <c r="AB37" s="360">
        <f t="shared" si="13"/>
        <v>1.3695790497342752</v>
      </c>
      <c r="AC37" s="360">
        <f t="shared" si="14"/>
        <v>1.1254480640826243E-2</v>
      </c>
      <c r="AD37" s="360">
        <f t="shared" si="15"/>
        <v>0.1045552880272336</v>
      </c>
      <c r="AE37" s="360">
        <f t="shared" si="16"/>
        <v>0.6042329999999998</v>
      </c>
      <c r="AF37" s="360">
        <f t="shared" si="17"/>
        <v>0</v>
      </c>
      <c r="AG37" s="360">
        <f t="shared" si="18"/>
        <v>0.7212766429583175</v>
      </c>
      <c r="AH37" s="360">
        <f t="shared" si="19"/>
        <v>0.30398420556035127</v>
      </c>
      <c r="AI37" s="360">
        <f t="shared" si="20"/>
        <v>2.3101599307539473E-4</v>
      </c>
      <c r="AJ37" s="360">
        <f t="shared" si="21"/>
        <v>5.4879999999999991E-2</v>
      </c>
      <c r="AK37" s="360">
        <f t="shared" si="22"/>
        <v>5.5113562415946074E-2</v>
      </c>
      <c r="AL37" s="360">
        <f t="shared" si="23"/>
        <v>5.4879999999999991E-2</v>
      </c>
      <c r="AM37" s="360">
        <f t="shared" si="24"/>
        <v>0.7056</v>
      </c>
      <c r="AN37" s="360">
        <f t="shared" si="25"/>
        <v>7.8726126828047912E-3</v>
      </c>
      <c r="AO37" s="360">
        <f t="shared" si="26"/>
        <v>7.3499999999999998E-4</v>
      </c>
      <c r="AP37" s="360">
        <f t="shared" si="27"/>
        <v>0.32999999999999996</v>
      </c>
      <c r="AQ37" s="360">
        <f t="shared" si="28"/>
        <v>1.2539999999999998</v>
      </c>
      <c r="AR37" s="360">
        <f t="shared" si="29"/>
        <v>1.0559999999999998</v>
      </c>
      <c r="AS37" s="360">
        <f t="shared" si="48"/>
        <v>0.33073499999999995</v>
      </c>
      <c r="AT37" s="360">
        <f t="shared" si="41"/>
        <v>2.1856670759122547</v>
      </c>
      <c r="AU37">
        <f t="shared" si="30"/>
        <v>28</v>
      </c>
      <c r="AV37" s="542">
        <f t="shared" si="42"/>
        <v>0.92759255343220859</v>
      </c>
      <c r="AW37" s="551">
        <f t="shared" si="31"/>
        <v>59.348632147915879</v>
      </c>
      <c r="AX37" s="551">
        <f t="shared" si="32"/>
        <v>10.94253937180595</v>
      </c>
      <c r="AY37" s="9"/>
      <c r="AZ37" s="4">
        <f t="shared" si="43"/>
        <v>92.759255343220858</v>
      </c>
      <c r="BA37" s="360">
        <f t="shared" si="33"/>
        <v>0.31008488367230042</v>
      </c>
      <c r="BB37" s="360">
        <f t="shared" si="44"/>
        <v>1.4819902053742635</v>
      </c>
      <c r="BC37" s="360">
        <f t="shared" si="45"/>
        <v>1.1869726429583176</v>
      </c>
      <c r="BD37" s="360">
        <f t="shared" si="46"/>
        <v>0.28796156241594606</v>
      </c>
      <c r="BE37" s="360">
        <f t="shared" si="47"/>
        <v>7.8726126828047912E-3</v>
      </c>
    </row>
    <row r="38" spans="1:57" x14ac:dyDescent="0.2">
      <c r="A38" s="22" t="s">
        <v>79</v>
      </c>
      <c r="B38" s="5">
        <f>RdsonTopTc*1000000</f>
        <v>4000</v>
      </c>
      <c r="C38" s="440" t="s">
        <v>81</v>
      </c>
      <c r="D38" s="21" t="s">
        <v>109</v>
      </c>
      <c r="G38">
        <v>29</v>
      </c>
      <c r="H38" s="548">
        <f t="shared" si="0"/>
        <v>21</v>
      </c>
      <c r="I38" s="4">
        <f t="shared" si="1"/>
        <v>1</v>
      </c>
      <c r="J38" s="360">
        <f t="shared" si="34"/>
        <v>1.45</v>
      </c>
      <c r="K38" s="4">
        <f t="shared" si="2"/>
        <v>1.5343915343915342</v>
      </c>
      <c r="L38" s="4"/>
      <c r="M38" s="360">
        <f t="shared" si="3"/>
        <v>0.95307304866855791</v>
      </c>
      <c r="N38" s="4">
        <f t="shared" si="4"/>
        <v>0.31262384451409808</v>
      </c>
      <c r="O38" s="4">
        <f t="shared" si="35"/>
        <v>1.606311922257049</v>
      </c>
      <c r="P38" s="4">
        <f t="shared" si="36"/>
        <v>1.2936880777429509</v>
      </c>
      <c r="Q38" s="4">
        <f t="shared" si="5"/>
        <v>0</v>
      </c>
      <c r="R38" s="4">
        <f t="shared" si="6"/>
        <v>1.4528057242269403</v>
      </c>
      <c r="S38" s="360">
        <f t="shared" si="7"/>
        <v>1.0553222361732824E-2</v>
      </c>
      <c r="T38" s="360">
        <f t="shared" si="8"/>
        <v>0.3</v>
      </c>
      <c r="U38" s="360">
        <f t="shared" si="9"/>
        <v>0.31081563087902631</v>
      </c>
      <c r="V38" s="4">
        <f t="shared" si="37"/>
        <v>9.0246730392655128E-2</v>
      </c>
      <c r="W38" s="360">
        <f t="shared" si="10"/>
        <v>1.6288944693129164E-5</v>
      </c>
      <c r="X38" s="360">
        <f t="shared" si="38"/>
        <v>1.6288944693129164E-5</v>
      </c>
      <c r="Y38" s="4">
        <f t="shared" si="11"/>
        <v>0.30724286554448016</v>
      </c>
      <c r="Z38" s="360">
        <f t="shared" si="12"/>
        <v>9.4398178427983515E-5</v>
      </c>
      <c r="AA38" s="541">
        <f t="shared" si="39"/>
        <v>9.4398178427983515E-5</v>
      </c>
      <c r="AB38" s="360">
        <f t="shared" si="13"/>
        <v>1.4183082746408766</v>
      </c>
      <c r="AC38" s="360">
        <f t="shared" si="14"/>
        <v>1.2069590171488681E-2</v>
      </c>
      <c r="AD38" s="360">
        <f t="shared" si="15"/>
        <v>0.10828940545677766</v>
      </c>
      <c r="AE38" s="360">
        <f t="shared" si="16"/>
        <v>0.6042329999999998</v>
      </c>
      <c r="AF38" s="360">
        <f t="shared" si="17"/>
        <v>0</v>
      </c>
      <c r="AG38" s="360">
        <f t="shared" si="18"/>
        <v>0.72592375917314911</v>
      </c>
      <c r="AH38" s="360">
        <f t="shared" si="19"/>
        <v>0.31471592020707262</v>
      </c>
      <c r="AI38" s="360">
        <f t="shared" si="20"/>
        <v>2.4761527607946129E-4</v>
      </c>
      <c r="AJ38" s="360">
        <f t="shared" si="21"/>
        <v>5.6839999999999995E-2</v>
      </c>
      <c r="AK38" s="360">
        <f t="shared" si="22"/>
        <v>5.7090442569219114E-2</v>
      </c>
      <c r="AL38" s="360">
        <f t="shared" si="23"/>
        <v>5.6839999999999995E-2</v>
      </c>
      <c r="AM38" s="360">
        <f t="shared" si="24"/>
        <v>0.73079999999999978</v>
      </c>
      <c r="AN38" s="360">
        <f t="shared" si="25"/>
        <v>8.4425778893862588E-3</v>
      </c>
      <c r="AO38" s="360">
        <f t="shared" si="26"/>
        <v>7.3499999999999998E-4</v>
      </c>
      <c r="AP38" s="360">
        <f t="shared" si="27"/>
        <v>0.32999999999999996</v>
      </c>
      <c r="AQ38" s="360">
        <f t="shared" si="28"/>
        <v>1.2539999999999998</v>
      </c>
      <c r="AR38" s="360">
        <f t="shared" si="29"/>
        <v>1.0559999999999998</v>
      </c>
      <c r="AS38" s="360">
        <f t="shared" si="48"/>
        <v>0.33073499999999995</v>
      </c>
      <c r="AT38" s="360">
        <f t="shared" si="41"/>
        <v>2.2207580976339014</v>
      </c>
      <c r="AU38">
        <f t="shared" si="30"/>
        <v>29</v>
      </c>
      <c r="AV38" s="542">
        <f t="shared" si="42"/>
        <v>0.92886918086072345</v>
      </c>
      <c r="AW38" s="551">
        <f t="shared" si="31"/>
        <v>60.412587958657447</v>
      </c>
      <c r="AX38" s="551">
        <f t="shared" si="32"/>
        <v>11.333668817630326</v>
      </c>
      <c r="AY38" s="9"/>
      <c r="AZ38" s="4">
        <f t="shared" si="43"/>
        <v>92.886918086072342</v>
      </c>
      <c r="BA38" s="360">
        <f t="shared" si="33"/>
        <v>0.31081563087902631</v>
      </c>
      <c r="BB38" s="360">
        <f t="shared" si="44"/>
        <v>1.5138142017423681</v>
      </c>
      <c r="BC38" s="360">
        <f t="shared" si="45"/>
        <v>1.208251759173149</v>
      </c>
      <c r="BD38" s="360">
        <f t="shared" si="46"/>
        <v>0.29825444256921907</v>
      </c>
      <c r="BE38" s="360">
        <f t="shared" si="47"/>
        <v>8.4425778893862588E-3</v>
      </c>
    </row>
    <row r="39" spans="1:57" x14ac:dyDescent="0.2">
      <c r="A39" s="23" t="s">
        <v>70</v>
      </c>
      <c r="B39" s="5">
        <f>Qg_Q3*1000000000</f>
        <v>8</v>
      </c>
      <c r="C39" s="440" t="s">
        <v>65</v>
      </c>
      <c r="D39" s="21" t="s">
        <v>99</v>
      </c>
      <c r="G39">
        <v>30</v>
      </c>
      <c r="H39" s="548">
        <f t="shared" si="0"/>
        <v>21</v>
      </c>
      <c r="I39" s="4">
        <f t="shared" si="1"/>
        <v>1</v>
      </c>
      <c r="J39" s="360">
        <f t="shared" si="34"/>
        <v>1.5</v>
      </c>
      <c r="K39" s="4">
        <f t="shared" si="2"/>
        <v>1.5873015873015872</v>
      </c>
      <c r="L39" s="4"/>
      <c r="M39" s="360">
        <f t="shared" si="3"/>
        <v>0.95309691320548073</v>
      </c>
      <c r="N39" s="4">
        <f t="shared" si="4"/>
        <v>0.31245693804586322</v>
      </c>
      <c r="O39" s="4">
        <f t="shared" si="35"/>
        <v>1.6562284690229316</v>
      </c>
      <c r="P39" s="4">
        <f t="shared" si="36"/>
        <v>1.3437715309770684</v>
      </c>
      <c r="Q39" s="4">
        <f t="shared" si="5"/>
        <v>0</v>
      </c>
      <c r="R39" s="4">
        <f t="shared" si="6"/>
        <v>1.5027094789671587</v>
      </c>
      <c r="S39" s="360">
        <f t="shared" si="7"/>
        <v>1.1290678890888748E-2</v>
      </c>
      <c r="T39" s="360">
        <f t="shared" si="8"/>
        <v>0.3</v>
      </c>
      <c r="U39" s="360">
        <f t="shared" si="9"/>
        <v>0.31157210774047717</v>
      </c>
      <c r="V39" s="4">
        <f t="shared" si="37"/>
        <v>9.0198548645472679E-2</v>
      </c>
      <c r="W39" s="360">
        <f t="shared" si="10"/>
        <v>1.6271556355499404E-5</v>
      </c>
      <c r="X39" s="360">
        <f t="shared" si="38"/>
        <v>1.6271556355499404E-5</v>
      </c>
      <c r="Y39" s="4">
        <f t="shared" si="11"/>
        <v>0.31771979244847065</v>
      </c>
      <c r="Z39" s="360">
        <f t="shared" si="12"/>
        <v>1.0094586651349926E-4</v>
      </c>
      <c r="AA39" s="541">
        <f t="shared" si="39"/>
        <v>1.0094586651349926E-4</v>
      </c>
      <c r="AB39" s="360">
        <f t="shared" si="13"/>
        <v>1.4670454116284435</v>
      </c>
      <c r="AC39" s="360">
        <f t="shared" si="14"/>
        <v>1.2913333438680416E-2</v>
      </c>
      <c r="AD39" s="360">
        <f t="shared" si="15"/>
        <v>0.11202352288632172</v>
      </c>
      <c r="AE39" s="360">
        <f t="shared" si="16"/>
        <v>0.6042329999999998</v>
      </c>
      <c r="AF39" s="360">
        <f t="shared" si="17"/>
        <v>0</v>
      </c>
      <c r="AG39" s="360">
        <f t="shared" si="18"/>
        <v>0.73060390516452867</v>
      </c>
      <c r="AH39" s="360">
        <f t="shared" si="19"/>
        <v>0.32544360248387166</v>
      </c>
      <c r="AI39" s="360">
        <f t="shared" si="20"/>
        <v>2.6478384599420068E-4</v>
      </c>
      <c r="AJ39" s="360">
        <f t="shared" si="21"/>
        <v>5.8799999999999998E-2</v>
      </c>
      <c r="AK39" s="360">
        <f t="shared" si="22"/>
        <v>5.906791189177131E-2</v>
      </c>
      <c r="AL39" s="360">
        <f t="shared" si="23"/>
        <v>5.8799999999999998E-2</v>
      </c>
      <c r="AM39" s="360">
        <f t="shared" si="24"/>
        <v>0.75599999999999978</v>
      </c>
      <c r="AN39" s="360">
        <f t="shared" si="25"/>
        <v>9.032543112710999E-3</v>
      </c>
      <c r="AO39" s="360">
        <f t="shared" si="26"/>
        <v>7.3499999999999998E-4</v>
      </c>
      <c r="AP39" s="360">
        <f t="shared" si="27"/>
        <v>0.32999999999999996</v>
      </c>
      <c r="AQ39" s="360">
        <f t="shared" si="28"/>
        <v>1.2539999999999998</v>
      </c>
      <c r="AR39" s="360">
        <f t="shared" si="29"/>
        <v>1.0559999999999998</v>
      </c>
      <c r="AS39" s="360">
        <f t="shared" si="48"/>
        <v>0.33073499999999995</v>
      </c>
      <c r="AT39" s="360">
        <f t="shared" si="41"/>
        <v>2.255928685332357</v>
      </c>
      <c r="AU39">
        <f t="shared" si="30"/>
        <v>30</v>
      </c>
      <c r="AV39" s="542">
        <f t="shared" si="42"/>
        <v>0.93006158007913164</v>
      </c>
      <c r="AW39" s="551">
        <f t="shared" si="31"/>
        <v>61.478195258226428</v>
      </c>
      <c r="AX39" s="551">
        <f t="shared" si="32"/>
        <v>11.724820651887308</v>
      </c>
      <c r="AY39" s="9"/>
      <c r="AZ39" s="4">
        <f t="shared" si="43"/>
        <v>93.006158007913172</v>
      </c>
      <c r="BA39" s="360">
        <f t="shared" si="33"/>
        <v>0.31157210774047717</v>
      </c>
      <c r="BB39" s="360">
        <f t="shared" si="44"/>
        <v>1.5456718170562997</v>
      </c>
      <c r="BC39" s="360">
        <f t="shared" si="45"/>
        <v>1.2295639051645286</v>
      </c>
      <c r="BD39" s="360">
        <f t="shared" si="46"/>
        <v>0.30854791189177128</v>
      </c>
      <c r="BE39" s="360">
        <f t="shared" si="47"/>
        <v>9.032543112710999E-3</v>
      </c>
    </row>
    <row r="40" spans="1:57" x14ac:dyDescent="0.2">
      <c r="A40" s="23" t="s">
        <v>120</v>
      </c>
      <c r="B40" s="5">
        <f>Qgd_Q3*1000000000</f>
        <v>1.4</v>
      </c>
      <c r="C40" s="440" t="s">
        <v>65</v>
      </c>
      <c r="D40" s="21" t="s">
        <v>121</v>
      </c>
      <c r="G40">
        <v>31</v>
      </c>
      <c r="H40" s="548">
        <f t="shared" si="0"/>
        <v>21</v>
      </c>
      <c r="I40" s="4">
        <f t="shared" si="1"/>
        <v>1</v>
      </c>
      <c r="J40" s="360">
        <f t="shared" si="34"/>
        <v>1.55</v>
      </c>
      <c r="K40" s="4">
        <f t="shared" si="2"/>
        <v>1.64021164021164</v>
      </c>
      <c r="L40" s="4"/>
      <c r="M40" s="360">
        <f t="shared" si="3"/>
        <v>0.95312077768558534</v>
      </c>
      <c r="N40" s="4">
        <f t="shared" si="4"/>
        <v>0.31229002280868168</v>
      </c>
      <c r="O40" s="4">
        <f t="shared" si="35"/>
        <v>1.7061450114043408</v>
      </c>
      <c r="P40" s="4">
        <f t="shared" si="36"/>
        <v>1.3938549885956593</v>
      </c>
      <c r="Q40" s="4">
        <f t="shared" si="5"/>
        <v>0</v>
      </c>
      <c r="R40" s="4">
        <f t="shared" si="6"/>
        <v>1.5526194279975656</v>
      </c>
      <c r="S40" s="360">
        <f t="shared" si="7"/>
        <v>1.2053135440977438E-2</v>
      </c>
      <c r="T40" s="360">
        <f t="shared" si="8"/>
        <v>0.3</v>
      </c>
      <c r="U40" s="360">
        <f t="shared" si="9"/>
        <v>0.31235432335817825</v>
      </c>
      <c r="V40" s="4">
        <f t="shared" si="37"/>
        <v>9.0150364366913371E-2</v>
      </c>
      <c r="W40" s="360">
        <f t="shared" si="10"/>
        <v>1.6254176390974486E-5</v>
      </c>
      <c r="X40" s="360">
        <f t="shared" si="38"/>
        <v>1.6254176390974486E-5</v>
      </c>
      <c r="Y40" s="4">
        <f t="shared" si="11"/>
        <v>0.32819290193225259</v>
      </c>
      <c r="Z40" s="360">
        <f t="shared" si="12"/>
        <v>1.0771058087871317E-4</v>
      </c>
      <c r="AA40" s="541">
        <f t="shared" si="39"/>
        <v>1.0771058087871317E-4</v>
      </c>
      <c r="AB40" s="360">
        <f t="shared" si="13"/>
        <v>1.5157898155782752</v>
      </c>
      <c r="AC40" s="360">
        <f t="shared" si="14"/>
        <v>1.3785712590064928E-2</v>
      </c>
      <c r="AD40" s="360">
        <f t="shared" si="15"/>
        <v>0.11575764031586579</v>
      </c>
      <c r="AE40" s="360">
        <f t="shared" si="16"/>
        <v>0.6042329999999998</v>
      </c>
      <c r="AF40" s="360">
        <f t="shared" si="17"/>
        <v>0</v>
      </c>
      <c r="AG40" s="360">
        <f t="shared" si="18"/>
        <v>0.7353171572968723</v>
      </c>
      <c r="AH40" s="360">
        <f t="shared" si="19"/>
        <v>0.33616710604201944</v>
      </c>
      <c r="AI40" s="360">
        <f t="shared" si="20"/>
        <v>2.8252080796166586E-4</v>
      </c>
      <c r="AJ40" s="360">
        <f t="shared" si="21"/>
        <v>6.0760000000000002E-2</v>
      </c>
      <c r="AK40" s="360">
        <f t="shared" si="22"/>
        <v>6.1045970159324107E-2</v>
      </c>
      <c r="AL40" s="360">
        <f t="shared" si="23"/>
        <v>6.0760000000000002E-2</v>
      </c>
      <c r="AM40" s="360">
        <f t="shared" si="24"/>
        <v>0.78120000000000012</v>
      </c>
      <c r="AN40" s="360">
        <f t="shared" si="25"/>
        <v>9.6425083527819505E-3</v>
      </c>
      <c r="AO40" s="360">
        <f t="shared" si="26"/>
        <v>7.3499999999999998E-4</v>
      </c>
      <c r="AP40" s="360">
        <f t="shared" si="27"/>
        <v>0.32999999999999996</v>
      </c>
      <c r="AQ40" s="360">
        <f t="shared" si="28"/>
        <v>1.2539999999999998</v>
      </c>
      <c r="AR40" s="360">
        <f t="shared" si="29"/>
        <v>1.0559999999999998</v>
      </c>
      <c r="AS40" s="360">
        <f t="shared" si="48"/>
        <v>0.33073499999999995</v>
      </c>
      <c r="AT40" s="360">
        <f t="shared" si="41"/>
        <v>2.2911789239244262</v>
      </c>
      <c r="AU40">
        <f t="shared" si="30"/>
        <v>31</v>
      </c>
      <c r="AV40" s="542">
        <f t="shared" si="42"/>
        <v>0.93117759725000637</v>
      </c>
      <c r="AW40" s="551">
        <f t="shared" si="31"/>
        <v>62.545457864843627</v>
      </c>
      <c r="AX40" s="551">
        <f t="shared" si="32"/>
        <v>12.115994866054317</v>
      </c>
      <c r="AY40" s="9"/>
      <c r="AZ40" s="4">
        <f t="shared" si="43"/>
        <v>93.117759725000639</v>
      </c>
      <c r="BA40" s="360">
        <f t="shared" si="33"/>
        <v>0.31235432335817825</v>
      </c>
      <c r="BB40" s="360">
        <f t="shared" si="44"/>
        <v>1.5775631274561965</v>
      </c>
      <c r="BC40" s="360">
        <f t="shared" si="45"/>
        <v>1.2509091572968725</v>
      </c>
      <c r="BD40" s="360">
        <f t="shared" si="46"/>
        <v>0.31884197015932414</v>
      </c>
      <c r="BE40" s="360">
        <f t="shared" si="47"/>
        <v>9.6425083527819505E-3</v>
      </c>
    </row>
    <row r="41" spans="1:57" x14ac:dyDescent="0.2">
      <c r="A41" s="23" t="s">
        <v>124</v>
      </c>
      <c r="B41" s="5">
        <f>Qgs_Q3*1000000000</f>
        <v>3.8000000000000003</v>
      </c>
      <c r="C41" s="440" t="s">
        <v>65</v>
      </c>
      <c r="D41" s="21"/>
      <c r="G41">
        <v>32</v>
      </c>
      <c r="H41" s="548">
        <f t="shared" si="0"/>
        <v>21</v>
      </c>
      <c r="I41" s="4">
        <f t="shared" ref="I41:I72" si="49">MODE</f>
        <v>1</v>
      </c>
      <c r="J41" s="360">
        <f t="shared" si="34"/>
        <v>1.6</v>
      </c>
      <c r="K41" s="4">
        <f t="shared" ref="K41:K72" si="50">Vout2*J41/(Vin*Efficiency)</f>
        <v>1.693121693121693</v>
      </c>
      <c r="L41" s="4"/>
      <c r="M41" s="360">
        <f t="shared" ref="M41:M72" si="51">(Vout2+(Rdson4+Rs+Rdcr)*J41)/(Vin+(Rs+Rdson2-Rdson1)*J41)</f>
        <v>0.95314464210887195</v>
      </c>
      <c r="N41" s="4">
        <f t="shared" ref="N41:N72" si="52">(Vin-(Rdson3+Rdcr2)*J41-Vout2)*M41/(Fsw*Lo_2)</f>
        <v>0.31212309880258476</v>
      </c>
      <c r="O41" s="4">
        <f t="shared" si="35"/>
        <v>1.7560615494012926</v>
      </c>
      <c r="P41" s="4">
        <f t="shared" si="36"/>
        <v>1.4439384505987076</v>
      </c>
      <c r="Q41" s="4">
        <f t="shared" ref="Q41:Q72" si="53">IF(MIN(Vin, -P41/(Coss_Q3+Coss_Q4)*0.00000002)&lt;0, 0, MIN(Vin, -P41/(Coss_Q3+Coss_Q4)*0.00000002))</f>
        <v>0</v>
      </c>
      <c r="R41" s="4">
        <f t="shared" ref="R41:R72" si="54">SQRT(J41^2+(N41^2)/12)</f>
        <v>1.6025349925666246</v>
      </c>
      <c r="S41" s="360">
        <f t="shared" ref="S41:S72" si="55">R41^2*Rdcr2</f>
        <v>1.2840592012002557E-2</v>
      </c>
      <c r="T41" s="360">
        <f t="shared" ref="T41:T72" si="56">Core_Loss_Ch1</f>
        <v>0.3</v>
      </c>
      <c r="U41" s="360">
        <f t="shared" ref="U41:U72" si="57">(T41+S41*(1+Ltc*(Ta-25)))/(1-S41*Ltc*ThetaCa)</f>
        <v>0.31316228714502453</v>
      </c>
      <c r="V41" s="4">
        <f t="shared" si="37"/>
        <v>9.010217755698624E-2</v>
      </c>
      <c r="W41" s="360">
        <f t="shared" ref="W41:W72" si="58">Cout2_ESR*V41^2</f>
        <v>1.623680480102135E-5</v>
      </c>
      <c r="X41" s="360">
        <f t="shared" si="38"/>
        <v>1.623680480102135E-5</v>
      </c>
      <c r="Y41" s="4">
        <f t="shared" ref="Y41:Y72" si="59">SQRT(M41*(1-M41))*SQRT(J41^2+(N41^2)/12)</f>
        <v>0.33866206848372332</v>
      </c>
      <c r="Z41" s="360">
        <f t="shared" si="12"/>
        <v>1.1469199662967411E-4</v>
      </c>
      <c r="AA41" s="541">
        <f t="shared" si="39"/>
        <v>1.1469199662967411E-4</v>
      </c>
      <c r="AB41" s="360">
        <f t="shared" ref="AB41:AB72" si="60">SQRT(M41)*SQRT(J41^2+(N41^2)/12)</f>
        <v>1.5645409216601667</v>
      </c>
      <c r="AC41" s="360">
        <f t="shared" ref="AC41:AC72" si="61">Rdson3*AB41^2</f>
        <v>1.4686729773295463E-2</v>
      </c>
      <c r="AD41" s="360">
        <f t="shared" ref="AD41:AD72" si="62">(Vin*J41/2)*Fsw*(Tr_Ch2+Tf_Ch2)</f>
        <v>0.11949175774540984</v>
      </c>
      <c r="AE41" s="360">
        <f t="shared" ref="AE41:AE72" si="63">(0.5*Coss_Q3*(Vin-Q41)^2-0.5*Coss_Q4*(Vin-Q41)^2+(Qoss_Q4*(Vin-Q41)/Vin)*Vin)*Fsw</f>
        <v>0.6042329999999998</v>
      </c>
      <c r="AF41" s="360">
        <f t="shared" ref="AF41:AF72" si="64">IF(J41&gt;N41/2,0,ABS(J41-N41/2)*Vsd_Q3*Deadtime*Fsw)</f>
        <v>0</v>
      </c>
      <c r="AG41" s="360">
        <f t="shared" ref="AG41:AG72" si="65">(AF41+AE41+AD41+AC41*(1+RdsonTopTc*Ta-RdsonTopTc*25))/(1-AC41*RdsonTopTc*ThetaJA_Q2)</f>
        <v>0.7400635928471917</v>
      </c>
      <c r="AH41" s="360">
        <f t="shared" ref="AH41:AH72" si="66">SQRT((1-M41))*SQRT(J41^2+(N41^2)/12)</f>
        <v>0.34688630248435576</v>
      </c>
      <c r="AI41" s="360">
        <f t="shared" ref="AI41:AI72" si="67">Rdson4*AH41^2</f>
        <v>3.0082526712816991E-4</v>
      </c>
      <c r="AJ41" s="360">
        <f t="shared" ref="AJ41:AJ72" si="68">IF(J41&lt;N41/2,Deadtime*Fsw*IF(VfdSky_Q4&gt;0,0,Vsd_Q4)*(J41+N41/2),2*Deadtime*Fsw*IF(VfdSky_Q4&gt;0,0,Vsd_Q4)*J41)</f>
        <v>6.2719999999999998E-2</v>
      </c>
      <c r="AK41" s="360">
        <f t="shared" ref="AK41:AK72" si="69">(AJ41+AI41*(1+RdsonBotTc*Ta-RdsonBotTc*25))/(1-AI41*RdsonBotTc*ThetaJA_Q3)</f>
        <v>6.3024617146585929E-2</v>
      </c>
      <c r="AL41" s="360">
        <f t="shared" ref="AL41:AL72" si="70">2*Deadtime*Fsw*IF(VfdSky_Q4&gt;0,VfdSky_Q4,Vsd_Q4)*J41</f>
        <v>6.2719999999999998E-2</v>
      </c>
      <c r="AM41" s="360">
        <f t="shared" ref="AM41:AM72" si="71">IF(QrrSky_Q4&gt;0,QrrSky_Q4,Qrr_Q4*J41/Iout2)*Fsw*Vin</f>
        <v>0.80639999999999989</v>
      </c>
      <c r="AN41" s="360">
        <f t="shared" ref="AN41:AN72" si="72">CHOOSE(SENSING_TYPE, Rs_Ch2*R41^2, 0)</f>
        <v>1.0272473609602045E-2</v>
      </c>
      <c r="AO41" s="360">
        <f t="shared" ref="AO41:AO72" si="73">Iq*Vin</f>
        <v>7.3499999999999998E-4</v>
      </c>
      <c r="AP41" s="360">
        <f t="shared" ref="AP41:AP72" si="74">IF(Ext_VCC=1,  (Qg_Q3+Qg_Q4)*Fsw*VCC, (Qg_Q3+Qg_Q4)*Fsw*Vin)</f>
        <v>0.32999999999999996</v>
      </c>
      <c r="AQ41" s="360">
        <f t="shared" ref="AQ41:AQ72" si="75">(Vin-VCC)*Fsw*(Qg_Q3+Qg_Q4)+(RdsonDRT+RdsonDRT2)*Fsw*Qg_Q3*VCC/(RdsonDRT+2*Rgate3+RdsonDRT2)+(RdsonDRB+RdsonDRB2)*Fsw*Qg_Q4*VCC/(RdsonDRB+2*Rgate4+RdsonDRB2)</f>
        <v>1.2539999999999998</v>
      </c>
      <c r="AR41" s="360">
        <f t="shared" ref="AR41:AR72" si="76">(Qg_Q3+Qg_Q4)*Fsw*(Vin-VCC)</f>
        <v>1.0559999999999998</v>
      </c>
      <c r="AS41" s="360">
        <f t="shared" si="48"/>
        <v>0.33073499999999995</v>
      </c>
      <c r="AT41" s="360">
        <f t="shared" si="41"/>
        <v>2.3265088995498351</v>
      </c>
      <c r="AU41">
        <f t="shared" ref="AU41:AU72" si="77">Vout2*J41</f>
        <v>32</v>
      </c>
      <c r="AV41" s="542">
        <f t="shared" si="42"/>
        <v>0.93222413306410123</v>
      </c>
      <c r="AW41" s="551">
        <f t="shared" ref="AW41:AW72" si="78">ThetaJA_Q1*BC41</f>
        <v>63.614379642359587</v>
      </c>
      <c r="AX41" s="551">
        <f t="shared" ref="AX41:AX72" si="79">ThetaJA_Q2*BD41</f>
        <v>12.507191451570263</v>
      </c>
      <c r="AY41" s="9"/>
      <c r="AZ41" s="4">
        <f t="shared" si="43"/>
        <v>93.222413306410118</v>
      </c>
      <c r="BA41" s="360">
        <f t="shared" ref="BA41:BA72" si="80">U41</f>
        <v>0.31316228714502453</v>
      </c>
      <c r="BB41" s="360">
        <f t="shared" si="44"/>
        <v>1.6094882099937775</v>
      </c>
      <c r="BC41" s="360">
        <f t="shared" si="45"/>
        <v>1.2722875928471917</v>
      </c>
      <c r="BD41" s="360">
        <f t="shared" si="46"/>
        <v>0.32913661714658587</v>
      </c>
      <c r="BE41" s="360">
        <f t="shared" si="47"/>
        <v>1.0272473609602045E-2</v>
      </c>
    </row>
    <row r="42" spans="1:57" x14ac:dyDescent="0.2">
      <c r="A42" s="23" t="s">
        <v>90</v>
      </c>
      <c r="B42" s="5">
        <f>Rgate3</f>
        <v>0.5</v>
      </c>
      <c r="C42" s="444" t="s">
        <v>116</v>
      </c>
      <c r="D42" s="21" t="s">
        <v>100</v>
      </c>
      <c r="G42">
        <v>33</v>
      </c>
      <c r="H42" s="548">
        <f t="shared" si="0"/>
        <v>21</v>
      </c>
      <c r="I42" s="4">
        <f t="shared" si="49"/>
        <v>1</v>
      </c>
      <c r="J42" s="360">
        <f t="shared" ref="J42:J73" si="81">Iout2*G42/100</f>
        <v>1.65</v>
      </c>
      <c r="K42" s="4">
        <f t="shared" si="50"/>
        <v>1.7460317460317458</v>
      </c>
      <c r="L42" s="4"/>
      <c r="M42" s="360">
        <f t="shared" si="51"/>
        <v>0.9531685064753409</v>
      </c>
      <c r="N42" s="4">
        <f t="shared" si="52"/>
        <v>0.31195616602760495</v>
      </c>
      <c r="O42" s="4">
        <f t="shared" si="35"/>
        <v>1.8059780830138024</v>
      </c>
      <c r="P42" s="4">
        <f t="shared" si="36"/>
        <v>1.4940219169861975</v>
      </c>
      <c r="Q42" s="4">
        <f t="shared" si="53"/>
        <v>0</v>
      </c>
      <c r="R42" s="4">
        <f t="shared" si="54"/>
        <v>1.6524556637905761</v>
      </c>
      <c r="S42" s="360">
        <f t="shared" si="55"/>
        <v>1.3653048603967767E-2</v>
      </c>
      <c r="T42" s="360">
        <f t="shared" si="56"/>
        <v>0.3</v>
      </c>
      <c r="U42" s="360">
        <f t="shared" si="57"/>
        <v>0.31399600882556356</v>
      </c>
      <c r="V42" s="4">
        <f t="shared" si="37"/>
        <v>9.0053988215700653E-2</v>
      </c>
      <c r="W42" s="360">
        <f t="shared" si="58"/>
        <v>1.6219441587107103E-5</v>
      </c>
      <c r="X42" s="360">
        <f t="shared" si="38"/>
        <v>1.6219441587107103E-5</v>
      </c>
      <c r="Y42" s="4">
        <f t="shared" si="59"/>
        <v>0.34912718146802835</v>
      </c>
      <c r="Z42" s="360">
        <f t="shared" si="12"/>
        <v>1.2188978883980959E-4</v>
      </c>
      <c r="AA42" s="541">
        <f t="shared" si="39"/>
        <v>1.2188978883980959E-4</v>
      </c>
      <c r="AB42" s="360">
        <f t="shared" si="60"/>
        <v>1.6132982332277683</v>
      </c>
      <c r="AC42" s="360">
        <f t="shared" si="61"/>
        <v>1.5616387136015033E-2</v>
      </c>
      <c r="AD42" s="360">
        <f t="shared" si="62"/>
        <v>0.1232258751749539</v>
      </c>
      <c r="AE42" s="360">
        <f t="shared" si="63"/>
        <v>0.6042329999999998</v>
      </c>
      <c r="AF42" s="360">
        <f t="shared" si="64"/>
        <v>0</v>
      </c>
      <c r="AG42" s="360">
        <f t="shared" si="65"/>
        <v>0.74484329000918059</v>
      </c>
      <c r="AH42" s="360">
        <f t="shared" si="66"/>
        <v>0.3576010786584885</v>
      </c>
      <c r="AI42" s="360">
        <f t="shared" si="67"/>
        <v>3.1969632864428622E-4</v>
      </c>
      <c r="AJ42" s="360">
        <f t="shared" si="68"/>
        <v>6.4679999999999988E-2</v>
      </c>
      <c r="AK42" s="360">
        <f t="shared" si="69"/>
        <v>6.5003852627250808E-2</v>
      </c>
      <c r="AL42" s="360">
        <f t="shared" si="70"/>
        <v>6.4679999999999988E-2</v>
      </c>
      <c r="AM42" s="360">
        <f t="shared" si="71"/>
        <v>0.83159999999999989</v>
      </c>
      <c r="AN42" s="360">
        <f t="shared" si="72"/>
        <v>1.0922438883174214E-2</v>
      </c>
      <c r="AO42" s="360">
        <f t="shared" si="73"/>
        <v>7.3499999999999998E-4</v>
      </c>
      <c r="AP42" s="360">
        <f t="shared" si="74"/>
        <v>0.32999999999999996</v>
      </c>
      <c r="AQ42" s="360">
        <f t="shared" si="75"/>
        <v>1.2539999999999998</v>
      </c>
      <c r="AR42" s="360">
        <f t="shared" si="76"/>
        <v>1.0559999999999998</v>
      </c>
      <c r="AS42" s="360">
        <f t="shared" si="48"/>
        <v>0.33073499999999995</v>
      </c>
      <c r="AT42" s="360">
        <f t="shared" si="41"/>
        <v>2.3619186995755959</v>
      </c>
      <c r="AU42">
        <f t="shared" si="77"/>
        <v>33</v>
      </c>
      <c r="AV42" s="542">
        <f t="shared" si="42"/>
        <v>0.93320728098376793</v>
      </c>
      <c r="AW42" s="551">
        <f t="shared" si="78"/>
        <v>64.684964500459031</v>
      </c>
      <c r="AX42" s="551">
        <f t="shared" si="79"/>
        <v>12.898410399835532</v>
      </c>
      <c r="AY42" s="9"/>
      <c r="AZ42" s="4">
        <f t="shared" si="43"/>
        <v>93.32072809837679</v>
      </c>
      <c r="BA42" s="360">
        <f t="shared" si="80"/>
        <v>0.31399600882556356</v>
      </c>
      <c r="BB42" s="360">
        <f t="shared" si="44"/>
        <v>1.6414471426364314</v>
      </c>
      <c r="BC42" s="360">
        <f t="shared" si="45"/>
        <v>1.2936992900091806</v>
      </c>
      <c r="BD42" s="360">
        <f t="shared" si="46"/>
        <v>0.33943185262725084</v>
      </c>
      <c r="BE42" s="360">
        <f t="shared" si="47"/>
        <v>1.0922438883174214E-2</v>
      </c>
    </row>
    <row r="43" spans="1:57" x14ac:dyDescent="0.2">
      <c r="A43" s="23" t="s">
        <v>69</v>
      </c>
      <c r="B43" s="5">
        <f>Gfs_Q3</f>
        <v>64</v>
      </c>
      <c r="C43" s="440" t="s">
        <v>66</v>
      </c>
      <c r="D43" s="21" t="s">
        <v>101</v>
      </c>
      <c r="G43">
        <v>34</v>
      </c>
      <c r="H43" s="548">
        <f t="shared" si="0"/>
        <v>21</v>
      </c>
      <c r="I43" s="4">
        <f t="shared" si="49"/>
        <v>1</v>
      </c>
      <c r="J43" s="360">
        <f t="shared" si="81"/>
        <v>1.7</v>
      </c>
      <c r="K43" s="4">
        <f t="shared" si="50"/>
        <v>1.7989417989417988</v>
      </c>
      <c r="L43" s="4"/>
      <c r="M43" s="360">
        <f t="shared" si="51"/>
        <v>0.95319237078499197</v>
      </c>
      <c r="N43" s="4">
        <f t="shared" si="52"/>
        <v>0.31178922448377117</v>
      </c>
      <c r="O43" s="4">
        <f t="shared" si="35"/>
        <v>1.8558946122418856</v>
      </c>
      <c r="P43" s="4">
        <f t="shared" si="36"/>
        <v>1.5441053877581143</v>
      </c>
      <c r="Q43" s="4">
        <f t="shared" si="53"/>
        <v>0</v>
      </c>
      <c r="R43" s="4">
        <f t="shared" si="54"/>
        <v>1.7023809924265922</v>
      </c>
      <c r="S43" s="360">
        <f t="shared" si="55"/>
        <v>1.4490505216876746E-2</v>
      </c>
      <c r="T43" s="360">
        <f t="shared" si="56"/>
        <v>0.3</v>
      </c>
      <c r="U43" s="360">
        <f t="shared" si="57"/>
        <v>0.31485549843628902</v>
      </c>
      <c r="V43" s="4">
        <f t="shared" si="37"/>
        <v>9.0005796343064978E-2</v>
      </c>
      <c r="W43" s="360">
        <f t="shared" si="58"/>
        <v>1.6202086750698576E-5</v>
      </c>
      <c r="X43" s="360">
        <f t="shared" si="38"/>
        <v>1.6202086750698576E-5</v>
      </c>
      <c r="Y43" s="4">
        <f t="shared" si="59"/>
        <v>0.35958814294958036</v>
      </c>
      <c r="Z43" s="360">
        <f t="shared" si="12"/>
        <v>1.2930363254992782E-4</v>
      </c>
      <c r="AA43" s="541">
        <f t="shared" si="39"/>
        <v>1.2930363254992782E-4</v>
      </c>
      <c r="AB43" s="360">
        <f t="shared" si="60"/>
        <v>1.6620613118382268</v>
      </c>
      <c r="AC43" s="360">
        <f t="shared" si="61"/>
        <v>1.6574686825856444E-2</v>
      </c>
      <c r="AD43" s="360">
        <f t="shared" si="62"/>
        <v>0.12695999260449792</v>
      </c>
      <c r="AE43" s="360">
        <f t="shared" si="63"/>
        <v>0.6042329999999998</v>
      </c>
      <c r="AF43" s="360">
        <f t="shared" si="64"/>
        <v>0</v>
      </c>
      <c r="AG43" s="360">
        <f t="shared" si="65"/>
        <v>0.74965632789736614</v>
      </c>
      <c r="AH43" s="360">
        <f t="shared" si="66"/>
        <v>0.36831133442502312</v>
      </c>
      <c r="AI43" s="360">
        <f t="shared" si="67"/>
        <v>3.3913309766485302E-4</v>
      </c>
      <c r="AJ43" s="360">
        <f t="shared" si="68"/>
        <v>6.6639999999999991E-2</v>
      </c>
      <c r="AK43" s="360">
        <f t="shared" si="69"/>
        <v>6.6983676373997186E-2</v>
      </c>
      <c r="AL43" s="360">
        <f t="shared" si="70"/>
        <v>6.6639999999999991E-2</v>
      </c>
      <c r="AM43" s="360">
        <f t="shared" si="71"/>
        <v>0.8567999999999999</v>
      </c>
      <c r="AN43" s="360">
        <f t="shared" si="72"/>
        <v>1.1592404173501396E-2</v>
      </c>
      <c r="AO43" s="360">
        <f t="shared" si="73"/>
        <v>7.3499999999999998E-4</v>
      </c>
      <c r="AP43" s="360">
        <f t="shared" si="74"/>
        <v>0.32999999999999996</v>
      </c>
      <c r="AQ43" s="360">
        <f t="shared" si="75"/>
        <v>1.2539999999999998</v>
      </c>
      <c r="AR43" s="360">
        <f t="shared" si="76"/>
        <v>1.0559999999999998</v>
      </c>
      <c r="AS43" s="360">
        <f t="shared" si="48"/>
        <v>0.33073499999999995</v>
      </c>
      <c r="AT43" s="360">
        <f t="shared" si="41"/>
        <v>2.3974084126004542</v>
      </c>
      <c r="AU43">
        <f t="shared" si="77"/>
        <v>34</v>
      </c>
      <c r="AV43" s="542">
        <f t="shared" si="42"/>
        <v>0.93413244191939515</v>
      </c>
      <c r="AW43" s="551">
        <f t="shared" si="78"/>
        <v>65.757216394868308</v>
      </c>
      <c r="AX43" s="551">
        <f t="shared" si="79"/>
        <v>13.289651702211891</v>
      </c>
      <c r="AY43" s="9"/>
      <c r="AZ43" s="4">
        <f t="shared" si="43"/>
        <v>93.413244191939512</v>
      </c>
      <c r="BA43" s="360">
        <f t="shared" si="80"/>
        <v>0.31485549843628902</v>
      </c>
      <c r="BB43" s="360">
        <f t="shared" si="44"/>
        <v>1.6734400042713631</v>
      </c>
      <c r="BC43" s="360">
        <f t="shared" si="45"/>
        <v>1.3151443278973662</v>
      </c>
      <c r="BD43" s="360">
        <f t="shared" si="46"/>
        <v>0.34972767637399715</v>
      </c>
      <c r="BE43" s="360">
        <f t="shared" si="47"/>
        <v>1.1592404173501396E-2</v>
      </c>
    </row>
    <row r="44" spans="1:57" x14ac:dyDescent="0.2">
      <c r="A44" s="23" t="s">
        <v>92</v>
      </c>
      <c r="B44" s="5">
        <f>Vth_Q3</f>
        <v>2.9</v>
      </c>
      <c r="C44" s="440" t="s">
        <v>0</v>
      </c>
      <c r="D44" s="21" t="s">
        <v>102</v>
      </c>
      <c r="G44">
        <v>35</v>
      </c>
      <c r="H44" s="548">
        <f t="shared" si="0"/>
        <v>21</v>
      </c>
      <c r="I44" s="4">
        <f t="shared" si="49"/>
        <v>1</v>
      </c>
      <c r="J44" s="360">
        <f t="shared" si="81"/>
        <v>1.75</v>
      </c>
      <c r="K44" s="4">
        <f t="shared" si="50"/>
        <v>1.8518518518518516</v>
      </c>
      <c r="L44" s="4"/>
      <c r="M44" s="360">
        <f t="shared" si="51"/>
        <v>0.95321623503782571</v>
      </c>
      <c r="N44" s="4">
        <f t="shared" si="52"/>
        <v>0.31162227417111599</v>
      </c>
      <c r="O44" s="4">
        <f t="shared" si="35"/>
        <v>1.9058111370855579</v>
      </c>
      <c r="P44" s="4">
        <f t="shared" si="36"/>
        <v>1.5941888629144421</v>
      </c>
      <c r="Q44" s="4">
        <f t="shared" si="53"/>
        <v>0</v>
      </c>
      <c r="R44" s="4">
        <f t="shared" si="54"/>
        <v>1.7523105803899695</v>
      </c>
      <c r="S44" s="360">
        <f t="shared" si="55"/>
        <v>1.5352961850733158E-2</v>
      </c>
      <c r="T44" s="360">
        <f t="shared" si="56"/>
        <v>0.3</v>
      </c>
      <c r="U44" s="360">
        <f t="shared" si="57"/>
        <v>0.315740766325943</v>
      </c>
      <c r="V44" s="4">
        <f t="shared" si="37"/>
        <v>8.9957601939088597E-2</v>
      </c>
      <c r="W44" s="360">
        <f t="shared" si="58"/>
        <v>1.6184740293263031E-5</v>
      </c>
      <c r="X44" s="360">
        <f t="shared" si="38"/>
        <v>1.6184740293263031E-5</v>
      </c>
      <c r="Y44" s="4">
        <f t="shared" si="59"/>
        <v>0.37004486588549579</v>
      </c>
      <c r="Z44" s="360">
        <f t="shared" si="12"/>
        <v>1.3693320276821454E-4</v>
      </c>
      <c r="AA44" s="541">
        <f t="shared" si="39"/>
        <v>1.3693320276821454E-4</v>
      </c>
      <c r="AB44" s="360">
        <f t="shared" si="60"/>
        <v>1.7108297689738292</v>
      </c>
      <c r="AC44" s="360">
        <f t="shared" si="61"/>
        <v>1.7561630990442275E-2</v>
      </c>
      <c r="AD44" s="360">
        <f t="shared" si="62"/>
        <v>0.13069411003404199</v>
      </c>
      <c r="AE44" s="360">
        <f t="shared" si="63"/>
        <v>0.6042329999999998</v>
      </c>
      <c r="AF44" s="360">
        <f t="shared" si="64"/>
        <v>0</v>
      </c>
      <c r="AG44" s="360">
        <f t="shared" si="65"/>
        <v>0.75450278655132252</v>
      </c>
      <c r="AH44" s="360">
        <f t="shared" si="66"/>
        <v>0.37901698080638246</v>
      </c>
      <c r="AI44" s="360">
        <f t="shared" si="67"/>
        <v>3.5913467934896423E-4</v>
      </c>
      <c r="AJ44" s="360">
        <f t="shared" si="68"/>
        <v>6.8599999999999994E-2</v>
      </c>
      <c r="AK44" s="360">
        <f t="shared" si="69"/>
        <v>6.8964088158486439E-2</v>
      </c>
      <c r="AL44" s="360">
        <f t="shared" si="70"/>
        <v>6.8599999999999994E-2</v>
      </c>
      <c r="AM44" s="360">
        <f t="shared" si="71"/>
        <v>0.8819999999999999</v>
      </c>
      <c r="AN44" s="360">
        <f t="shared" si="72"/>
        <v>1.2282369480586527E-2</v>
      </c>
      <c r="AO44" s="360">
        <f t="shared" si="73"/>
        <v>7.3499999999999998E-4</v>
      </c>
      <c r="AP44" s="360">
        <f t="shared" si="74"/>
        <v>0.32999999999999996</v>
      </c>
      <c r="AQ44" s="360">
        <f t="shared" si="75"/>
        <v>1.2539999999999998</v>
      </c>
      <c r="AR44" s="360">
        <f t="shared" si="76"/>
        <v>1.0559999999999998</v>
      </c>
      <c r="AS44" s="360">
        <f t="shared" si="48"/>
        <v>0.33073499999999995</v>
      </c>
      <c r="AT44" s="360">
        <f t="shared" si="41"/>
        <v>2.4329781284593999</v>
      </c>
      <c r="AU44">
        <f t="shared" si="77"/>
        <v>35</v>
      </c>
      <c r="AV44" s="542">
        <f t="shared" si="42"/>
        <v>0.93500441989653871</v>
      </c>
      <c r="AW44" s="551">
        <f t="shared" si="78"/>
        <v>66.83113932756612</v>
      </c>
      <c r="AX44" s="551">
        <f t="shared" si="79"/>
        <v>13.680915350022484</v>
      </c>
      <c r="AY44" s="9"/>
      <c r="AZ44" s="4">
        <f t="shared" si="43"/>
        <v>93.500441989653865</v>
      </c>
      <c r="BA44" s="360">
        <f t="shared" si="80"/>
        <v>0.315740766325943</v>
      </c>
      <c r="BB44" s="360">
        <f t="shared" si="44"/>
        <v>1.705466874709809</v>
      </c>
      <c r="BC44" s="360">
        <f t="shared" si="45"/>
        <v>1.3366227865513225</v>
      </c>
      <c r="BD44" s="360">
        <f t="shared" si="46"/>
        <v>0.36002408815848641</v>
      </c>
      <c r="BE44" s="360">
        <f t="shared" si="47"/>
        <v>1.2282369480586527E-2</v>
      </c>
    </row>
    <row r="45" spans="1:57" x14ac:dyDescent="0.2">
      <c r="A45" s="28" t="s">
        <v>123</v>
      </c>
      <c r="B45" s="447">
        <f>Vsp_Q3</f>
        <v>2.9781249999999999</v>
      </c>
      <c r="C45" s="445" t="s">
        <v>0</v>
      </c>
      <c r="G45">
        <v>36</v>
      </c>
      <c r="H45" s="548">
        <f t="shared" si="0"/>
        <v>21</v>
      </c>
      <c r="I45" s="4">
        <f t="shared" si="49"/>
        <v>1</v>
      </c>
      <c r="J45" s="360">
        <f t="shared" si="81"/>
        <v>1.8</v>
      </c>
      <c r="K45" s="4">
        <f t="shared" si="50"/>
        <v>1.9047619047619047</v>
      </c>
      <c r="L45" s="4"/>
      <c r="M45" s="360">
        <f t="shared" si="51"/>
        <v>0.95324009923384223</v>
      </c>
      <c r="N45" s="4">
        <f t="shared" si="52"/>
        <v>0.31145531508967067</v>
      </c>
      <c r="O45" s="4">
        <f t="shared" si="35"/>
        <v>1.9557276575448355</v>
      </c>
      <c r="P45" s="4">
        <f t="shared" si="36"/>
        <v>1.6442723424551646</v>
      </c>
      <c r="Q45" s="4">
        <f t="shared" si="53"/>
        <v>0</v>
      </c>
      <c r="R45" s="4">
        <f t="shared" si="54"/>
        <v>1.8022440736781835</v>
      </c>
      <c r="S45" s="360">
        <f t="shared" si="55"/>
        <v>1.6240418505540668E-2</v>
      </c>
      <c r="T45" s="360">
        <f t="shared" si="56"/>
        <v>0.3</v>
      </c>
      <c r="U45" s="360">
        <f t="shared" si="57"/>
        <v>0.31665182315582807</v>
      </c>
      <c r="V45" s="4">
        <f t="shared" si="37"/>
        <v>8.9909405003780543E-2</v>
      </c>
      <c r="W45" s="360">
        <f t="shared" si="58"/>
        <v>1.6167402216267673E-5</v>
      </c>
      <c r="X45" s="360">
        <f t="shared" si="38"/>
        <v>1.6167402216267673E-5</v>
      </c>
      <c r="Y45" s="4">
        <f t="shared" si="59"/>
        <v>0.38049727261865735</v>
      </c>
      <c r="Z45" s="360">
        <f t="shared" si="12"/>
        <v>1.4477817447023687E-4</v>
      </c>
      <c r="AA45" s="541">
        <f t="shared" si="39"/>
        <v>1.4477817447023687E-4</v>
      </c>
      <c r="AB45" s="360">
        <f t="shared" si="60"/>
        <v>1.7596032591365995</v>
      </c>
      <c r="AC45" s="360">
        <f t="shared" si="61"/>
        <v>1.8577221777384859E-2</v>
      </c>
      <c r="AD45" s="360">
        <f t="shared" si="62"/>
        <v>0.1344282274635861</v>
      </c>
      <c r="AE45" s="360">
        <f t="shared" si="63"/>
        <v>0.6042329999999998</v>
      </c>
      <c r="AF45" s="360">
        <f t="shared" si="64"/>
        <v>0</v>
      </c>
      <c r="AG45" s="360">
        <f t="shared" si="65"/>
        <v>0.75938274693995189</v>
      </c>
      <c r="AH45" s="360">
        <f t="shared" si="66"/>
        <v>0.38971793844265212</v>
      </c>
      <c r="AI45" s="360">
        <f t="shared" si="67"/>
        <v>3.7970017885997703E-4</v>
      </c>
      <c r="AJ45" s="360">
        <f t="shared" si="68"/>
        <v>7.0559999999999998E-2</v>
      </c>
      <c r="AK45" s="360">
        <f t="shared" si="69"/>
        <v>7.0945087751361671E-2</v>
      </c>
      <c r="AL45" s="360">
        <f t="shared" si="70"/>
        <v>7.0559999999999998E-2</v>
      </c>
      <c r="AM45" s="360">
        <f t="shared" si="71"/>
        <v>0.9071999999999999</v>
      </c>
      <c r="AN45" s="360">
        <f t="shared" si="72"/>
        <v>1.2992334804432534E-2</v>
      </c>
      <c r="AO45" s="360">
        <f t="shared" si="73"/>
        <v>7.3499999999999998E-4</v>
      </c>
      <c r="AP45" s="360">
        <f t="shared" si="74"/>
        <v>0.32999999999999996</v>
      </c>
      <c r="AQ45" s="360">
        <f t="shared" si="75"/>
        <v>1.2539999999999998</v>
      </c>
      <c r="AR45" s="360">
        <f t="shared" si="76"/>
        <v>1.0559999999999998</v>
      </c>
      <c r="AS45" s="360">
        <f t="shared" si="48"/>
        <v>0.33073499999999995</v>
      </c>
      <c r="AT45" s="360">
        <f t="shared" si="41"/>
        <v>2.4686279382282605</v>
      </c>
      <c r="AU45">
        <f t="shared" si="77"/>
        <v>36</v>
      </c>
      <c r="AV45" s="542">
        <f t="shared" si="42"/>
        <v>0.93582750229115774</v>
      </c>
      <c r="AW45" s="551">
        <f t="shared" si="78"/>
        <v>67.906737346997588</v>
      </c>
      <c r="AX45" s="551">
        <f t="shared" si="79"/>
        <v>14.072201334551742</v>
      </c>
      <c r="AY45" s="9"/>
      <c r="AZ45" s="4">
        <f t="shared" si="43"/>
        <v>93.582750229115774</v>
      </c>
      <c r="BA45" s="360">
        <f t="shared" si="80"/>
        <v>0.31665182315582807</v>
      </c>
      <c r="BB45" s="360">
        <f t="shared" si="44"/>
        <v>1.7375278346913134</v>
      </c>
      <c r="BC45" s="360">
        <f t="shared" si="45"/>
        <v>1.3581347469399518</v>
      </c>
      <c r="BD45" s="360">
        <f t="shared" si="46"/>
        <v>0.37032108775136163</v>
      </c>
      <c r="BE45" s="360">
        <f t="shared" si="47"/>
        <v>1.2992334804432534E-2</v>
      </c>
    </row>
    <row r="46" spans="1:57" x14ac:dyDescent="0.2">
      <c r="A46" s="77" t="s">
        <v>203</v>
      </c>
      <c r="B46" s="5">
        <f>Vsd_Q3</f>
        <v>0.7</v>
      </c>
      <c r="C46" s="445" t="s">
        <v>0</v>
      </c>
      <c r="G46">
        <v>37</v>
      </c>
      <c r="H46" s="548">
        <f t="shared" si="0"/>
        <v>21</v>
      </c>
      <c r="I46" s="4">
        <f t="shared" si="49"/>
        <v>1</v>
      </c>
      <c r="J46" s="360">
        <f t="shared" si="81"/>
        <v>1.85</v>
      </c>
      <c r="K46" s="4">
        <f t="shared" si="50"/>
        <v>1.9576719576719575</v>
      </c>
      <c r="L46" s="4"/>
      <c r="M46" s="360">
        <f t="shared" si="51"/>
        <v>0.95326396337304187</v>
      </c>
      <c r="N46" s="4">
        <f t="shared" si="52"/>
        <v>0.31128834723946663</v>
      </c>
      <c r="O46" s="4">
        <f t="shared" si="35"/>
        <v>2.0056441736197335</v>
      </c>
      <c r="P46" s="4">
        <f t="shared" si="36"/>
        <v>1.6943558263802667</v>
      </c>
      <c r="Q46" s="4">
        <f t="shared" si="53"/>
        <v>0</v>
      </c>
      <c r="R46" s="4">
        <f t="shared" si="54"/>
        <v>1.8521811564370776</v>
      </c>
      <c r="S46" s="360">
        <f t="shared" si="55"/>
        <v>1.7152875181302953E-2</v>
      </c>
      <c r="T46" s="360">
        <f t="shared" si="56"/>
        <v>0.3</v>
      </c>
      <c r="U46" s="360">
        <f t="shared" si="57"/>
        <v>0.31758867990012868</v>
      </c>
      <c r="V46" s="4">
        <f t="shared" si="37"/>
        <v>8.986120553714988E-2</v>
      </c>
      <c r="W46" s="360">
        <f t="shared" si="58"/>
        <v>1.6150072521179792E-5</v>
      </c>
      <c r="X46" s="360">
        <f t="shared" si="38"/>
        <v>1.6150072521179792E-5</v>
      </c>
      <c r="Y46" s="4">
        <f t="shared" si="59"/>
        <v>0.39094529361400604</v>
      </c>
      <c r="Z46" s="360">
        <f t="shared" si="12"/>
        <v>1.528382225989414E-4</v>
      </c>
      <c r="AA46" s="541">
        <f t="shared" si="39"/>
        <v>1.528382225989414E-4</v>
      </c>
      <c r="AB46" s="360">
        <f t="shared" si="60"/>
        <v>1.808381474057503</v>
      </c>
      <c r="AC46" s="360">
        <f t="shared" si="61"/>
        <v>1.9621461334286328E-2</v>
      </c>
      <c r="AD46" s="360">
        <f t="shared" si="62"/>
        <v>0.13816234489313012</v>
      </c>
      <c r="AE46" s="360">
        <f t="shared" si="63"/>
        <v>0.6042329999999998</v>
      </c>
      <c r="AF46" s="360">
        <f t="shared" si="64"/>
        <v>0</v>
      </c>
      <c r="AG46" s="360">
        <f t="shared" si="65"/>
        <v>0.76429629096582719</v>
      </c>
      <c r="AH46" s="360">
        <f t="shared" si="66"/>
        <v>0.40041413629666367</v>
      </c>
      <c r="AI46" s="360">
        <f t="shared" si="67"/>
        <v>4.0082870136550787E-4</v>
      </c>
      <c r="AJ46" s="360">
        <f t="shared" si="68"/>
        <v>7.2520000000000001E-2</v>
      </c>
      <c r="AK46" s="360">
        <f t="shared" si="69"/>
        <v>7.2926674922246318E-2</v>
      </c>
      <c r="AL46" s="360">
        <f t="shared" si="70"/>
        <v>7.2520000000000001E-2</v>
      </c>
      <c r="AM46" s="360">
        <f t="shared" si="71"/>
        <v>0.93240000000000001</v>
      </c>
      <c r="AN46" s="360">
        <f t="shared" si="72"/>
        <v>1.3722300145042362E-2</v>
      </c>
      <c r="AO46" s="360">
        <f t="shared" si="73"/>
        <v>7.3499999999999998E-4</v>
      </c>
      <c r="AP46" s="360">
        <f t="shared" si="74"/>
        <v>0.32999999999999996</v>
      </c>
      <c r="AQ46" s="360">
        <f t="shared" si="75"/>
        <v>1.2539999999999998</v>
      </c>
      <c r="AR46" s="360">
        <f t="shared" si="76"/>
        <v>1.0559999999999998</v>
      </c>
      <c r="AS46" s="360">
        <f t="shared" si="48"/>
        <v>0.33073499999999995</v>
      </c>
      <c r="AT46" s="360">
        <f t="shared" si="41"/>
        <v>2.5043579342283642</v>
      </c>
      <c r="AU46">
        <f t="shared" si="77"/>
        <v>37</v>
      </c>
      <c r="AV46" s="542">
        <f t="shared" si="42"/>
        <v>0.93660552746109871</v>
      </c>
      <c r="AW46" s="551">
        <f t="shared" si="78"/>
        <v>68.984014548291356</v>
      </c>
      <c r="AX46" s="551">
        <f t="shared" si="79"/>
        <v>14.46350964704536</v>
      </c>
      <c r="AY46" s="9"/>
      <c r="AZ46" s="4">
        <f t="shared" si="43"/>
        <v>93.660552746109872</v>
      </c>
      <c r="BA46" s="360">
        <f t="shared" si="80"/>
        <v>0.31758867990012868</v>
      </c>
      <c r="BB46" s="360">
        <f t="shared" si="44"/>
        <v>1.7696229658880736</v>
      </c>
      <c r="BC46" s="360">
        <f t="shared" si="45"/>
        <v>1.3796802909658272</v>
      </c>
      <c r="BD46" s="360">
        <f t="shared" si="46"/>
        <v>0.38061867492224633</v>
      </c>
      <c r="BE46" s="360">
        <f t="shared" si="47"/>
        <v>1.3722300145042362E-2</v>
      </c>
    </row>
    <row r="47" spans="1:57" ht="15.75" x14ac:dyDescent="0.3">
      <c r="A47" s="446" t="s">
        <v>472</v>
      </c>
      <c r="B47" s="5">
        <f>ThetaJA_Q3</f>
        <v>50</v>
      </c>
      <c r="C47" s="441" t="s">
        <v>205</v>
      </c>
      <c r="D47" s="21" t="s">
        <v>103</v>
      </c>
      <c r="G47">
        <v>38</v>
      </c>
      <c r="H47" s="548">
        <f t="shared" si="0"/>
        <v>21</v>
      </c>
      <c r="I47" s="4">
        <f t="shared" si="49"/>
        <v>1</v>
      </c>
      <c r="J47" s="360">
        <f t="shared" si="81"/>
        <v>1.9</v>
      </c>
      <c r="K47" s="4">
        <f t="shared" si="50"/>
        <v>2.0105820105820102</v>
      </c>
      <c r="L47" s="4"/>
      <c r="M47" s="360">
        <f t="shared" si="51"/>
        <v>0.95328782745542473</v>
      </c>
      <c r="N47" s="4">
        <f t="shared" si="52"/>
        <v>0.31112137062053513</v>
      </c>
      <c r="O47" s="4">
        <f t="shared" si="35"/>
        <v>2.0555606853102675</v>
      </c>
      <c r="P47" s="4">
        <f t="shared" si="36"/>
        <v>1.7444393146897323</v>
      </c>
      <c r="Q47" s="4">
        <f t="shared" si="53"/>
        <v>0</v>
      </c>
      <c r="R47" s="4">
        <f t="shared" si="54"/>
        <v>1.9021215459598615</v>
      </c>
      <c r="S47" s="360">
        <f t="shared" si="55"/>
        <v>1.8090331878023665E-2</v>
      </c>
      <c r="T47" s="360">
        <f t="shared" si="56"/>
        <v>0.3</v>
      </c>
      <c r="U47" s="360">
        <f t="shared" si="57"/>
        <v>0.31855134784624206</v>
      </c>
      <c r="V47" s="4">
        <f t="shared" si="37"/>
        <v>8.9813003539205641E-2</v>
      </c>
      <c r="W47" s="360">
        <f t="shared" si="58"/>
        <v>1.613275120946673E-5</v>
      </c>
      <c r="X47" s="360">
        <f t="shared" si="38"/>
        <v>1.613275120946673E-5</v>
      </c>
      <c r="Y47" s="4">
        <f t="shared" si="59"/>
        <v>0.4013888663934968</v>
      </c>
      <c r="Z47" s="360">
        <f t="shared" si="12"/>
        <v>1.6111302206465642E-4</v>
      </c>
      <c r="AA47" s="541">
        <f t="shared" si="39"/>
        <v>1.6111302206465642E-4</v>
      </c>
      <c r="AB47" s="360">
        <f t="shared" si="60"/>
        <v>1.8571641378159764</v>
      </c>
      <c r="AC47" s="360">
        <f t="shared" si="61"/>
        <v>2.0694351808738555E-2</v>
      </c>
      <c r="AD47" s="360">
        <f t="shared" si="62"/>
        <v>0.14189646232267417</v>
      </c>
      <c r="AE47" s="360">
        <f t="shared" si="63"/>
        <v>0.6042329999999998</v>
      </c>
      <c r="AF47" s="360">
        <f t="shared" si="64"/>
        <v>0</v>
      </c>
      <c r="AG47" s="360">
        <f t="shared" si="65"/>
        <v>0.7692435014696043</v>
      </c>
      <c r="AH47" s="360">
        <f t="shared" si="66"/>
        <v>0.41110551056264666</v>
      </c>
      <c r="AI47" s="360">
        <f t="shared" si="67"/>
        <v>4.2251935203743598E-4</v>
      </c>
      <c r="AJ47" s="360">
        <f t="shared" si="68"/>
        <v>7.4479999999999991E-2</v>
      </c>
      <c r="AK47" s="360">
        <f t="shared" si="69"/>
        <v>7.4908849439742853E-2</v>
      </c>
      <c r="AL47" s="360">
        <f t="shared" si="70"/>
        <v>7.4479999999999991E-2</v>
      </c>
      <c r="AM47" s="360">
        <f t="shared" si="71"/>
        <v>0.9575999999999999</v>
      </c>
      <c r="AN47" s="360">
        <f t="shared" si="72"/>
        <v>1.4472265502418934E-2</v>
      </c>
      <c r="AO47" s="360">
        <f t="shared" si="73"/>
        <v>7.3499999999999998E-4</v>
      </c>
      <c r="AP47" s="360">
        <f t="shared" si="74"/>
        <v>0.32999999999999996</v>
      </c>
      <c r="AQ47" s="360">
        <f t="shared" si="75"/>
        <v>1.2539999999999998</v>
      </c>
      <c r="AR47" s="360">
        <f t="shared" si="76"/>
        <v>1.0559999999999998</v>
      </c>
      <c r="AS47" s="360">
        <f t="shared" si="48"/>
        <v>0.33073499999999995</v>
      </c>
      <c r="AT47" s="360">
        <f t="shared" si="41"/>
        <v>2.5401682100312817</v>
      </c>
      <c r="AU47">
        <f t="shared" si="77"/>
        <v>38</v>
      </c>
      <c r="AV47" s="542">
        <f t="shared" si="42"/>
        <v>0.93734194202473131</v>
      </c>
      <c r="AW47" s="551">
        <f t="shared" si="78"/>
        <v>70.062975073480203</v>
      </c>
      <c r="AX47" s="551">
        <f t="shared" si="79"/>
        <v>14.854840278710228</v>
      </c>
      <c r="AY47" s="9"/>
      <c r="AZ47" s="4">
        <f t="shared" si="43"/>
        <v>93.734194202473134</v>
      </c>
      <c r="BA47" s="360">
        <f t="shared" si="80"/>
        <v>0.31855134784624206</v>
      </c>
      <c r="BB47" s="360">
        <f t="shared" si="44"/>
        <v>1.8017523509093469</v>
      </c>
      <c r="BC47" s="360">
        <f t="shared" si="45"/>
        <v>1.4012595014696041</v>
      </c>
      <c r="BD47" s="360">
        <f t="shared" si="46"/>
        <v>0.39091684943974281</v>
      </c>
      <c r="BE47" s="360">
        <f t="shared" si="47"/>
        <v>1.4472265502418934E-2</v>
      </c>
    </row>
    <row r="48" spans="1:57" x14ac:dyDescent="0.2">
      <c r="A48" s="24" t="s">
        <v>526</v>
      </c>
      <c r="B48" s="15" t="s">
        <v>111</v>
      </c>
      <c r="C48" s="24" t="s">
        <v>76</v>
      </c>
      <c r="D48" s="17" t="s">
        <v>107</v>
      </c>
      <c r="G48">
        <v>39</v>
      </c>
      <c r="H48" s="548">
        <f t="shared" si="0"/>
        <v>21</v>
      </c>
      <c r="I48" s="4">
        <f t="shared" si="49"/>
        <v>1</v>
      </c>
      <c r="J48" s="360">
        <f t="shared" si="81"/>
        <v>1.95</v>
      </c>
      <c r="K48" s="4">
        <f t="shared" si="50"/>
        <v>2.0634920634920633</v>
      </c>
      <c r="L48" s="4"/>
      <c r="M48" s="360">
        <f t="shared" si="51"/>
        <v>0.95331169148099082</v>
      </c>
      <c r="N48" s="4">
        <f t="shared" si="52"/>
        <v>0.31095438523290736</v>
      </c>
      <c r="O48" s="4">
        <f t="shared" si="35"/>
        <v>2.1054771926164535</v>
      </c>
      <c r="P48" s="4">
        <f t="shared" si="36"/>
        <v>1.7945228073835462</v>
      </c>
      <c r="Q48" s="4">
        <f t="shared" si="53"/>
        <v>0</v>
      </c>
      <c r="R48" s="4">
        <f t="shared" si="54"/>
        <v>1.9520649884523051</v>
      </c>
      <c r="S48" s="360">
        <f t="shared" si="55"/>
        <v>1.9052788595706492E-2</v>
      </c>
      <c r="T48" s="360">
        <f t="shared" si="56"/>
        <v>0.3</v>
      </c>
      <c r="U48" s="360">
        <f t="shared" si="57"/>
        <v>0.3195398385951192</v>
      </c>
      <c r="V48" s="4">
        <f t="shared" si="37"/>
        <v>8.9764799009956833E-2</v>
      </c>
      <c r="W48" s="360">
        <f t="shared" si="58"/>
        <v>1.6115438282595896E-5</v>
      </c>
      <c r="X48" s="360">
        <f t="shared" si="38"/>
        <v>1.6115438282595896E-5</v>
      </c>
      <c r="Y48" s="4">
        <f t="shared" si="59"/>
        <v>0.41182793463422551</v>
      </c>
      <c r="Z48" s="360">
        <f t="shared" si="12"/>
        <v>1.6960224774509192E-4</v>
      </c>
      <c r="AA48" s="541">
        <f t="shared" si="39"/>
        <v>1.6960224774509192E-4</v>
      </c>
      <c r="AB48" s="360">
        <f t="shared" si="60"/>
        <v>1.9059510027071886</v>
      </c>
      <c r="AC48" s="360">
        <f t="shared" si="61"/>
        <v>2.1795895348323227E-2</v>
      </c>
      <c r="AD48" s="360">
        <f t="shared" si="62"/>
        <v>0.14563057975221821</v>
      </c>
      <c r="AE48" s="360">
        <f t="shared" si="63"/>
        <v>0.6042329999999998</v>
      </c>
      <c r="AF48" s="360">
        <f t="shared" si="64"/>
        <v>0</v>
      </c>
      <c r="AG48" s="360">
        <f t="shared" si="65"/>
        <v>0.77422446223449737</v>
      </c>
      <c r="AH48" s="360">
        <f t="shared" si="66"/>
        <v>0.42179200374208242</v>
      </c>
      <c r="AI48" s="360">
        <f t="shared" si="67"/>
        <v>4.447712360519022E-4</v>
      </c>
      <c r="AJ48" s="360">
        <f t="shared" si="68"/>
        <v>7.6439999999999994E-2</v>
      </c>
      <c r="AK48" s="360">
        <f t="shared" si="69"/>
        <v>7.689161107143154E-2</v>
      </c>
      <c r="AL48" s="360">
        <f t="shared" si="70"/>
        <v>7.6439999999999994E-2</v>
      </c>
      <c r="AM48" s="360">
        <f t="shared" si="71"/>
        <v>0.9827999999999999</v>
      </c>
      <c r="AN48" s="360">
        <f t="shared" si="72"/>
        <v>1.5242230876565193E-2</v>
      </c>
      <c r="AO48" s="360">
        <f t="shared" si="73"/>
        <v>7.3499999999999998E-4</v>
      </c>
      <c r="AP48" s="360">
        <f t="shared" si="74"/>
        <v>0.32999999999999996</v>
      </c>
      <c r="AQ48" s="360">
        <f t="shared" si="75"/>
        <v>1.2539999999999998</v>
      </c>
      <c r="AR48" s="360">
        <f t="shared" si="76"/>
        <v>1.0559999999999998</v>
      </c>
      <c r="AS48" s="360">
        <f t="shared" si="48"/>
        <v>0.33073499999999995</v>
      </c>
      <c r="AT48" s="360">
        <f t="shared" si="41"/>
        <v>2.576058860463641</v>
      </c>
      <c r="AU48">
        <f t="shared" si="77"/>
        <v>39</v>
      </c>
      <c r="AV48" s="542">
        <f t="shared" si="42"/>
        <v>0.93803984958965603</v>
      </c>
      <c r="AW48" s="551">
        <f t="shared" si="78"/>
        <v>71.143623111724864</v>
      </c>
      <c r="AX48" s="551">
        <f t="shared" si="79"/>
        <v>15.2461932207144</v>
      </c>
      <c r="AY48" s="9"/>
      <c r="AZ48" s="4">
        <f t="shared" si="43"/>
        <v>93.8039849589656</v>
      </c>
      <c r="BA48" s="360">
        <f t="shared" si="80"/>
        <v>0.3195398385951192</v>
      </c>
      <c r="BB48" s="360">
        <f t="shared" si="44"/>
        <v>1.8339160733059288</v>
      </c>
      <c r="BC48" s="360">
        <f t="shared" si="45"/>
        <v>1.4228724622344973</v>
      </c>
      <c r="BD48" s="360">
        <f t="shared" si="46"/>
        <v>0.40121561107143155</v>
      </c>
      <c r="BE48" s="360">
        <f t="shared" si="47"/>
        <v>1.5242230876565193E-2</v>
      </c>
    </row>
    <row r="49" spans="1:64" x14ac:dyDescent="0.2">
      <c r="A49" s="23" t="s">
        <v>68</v>
      </c>
      <c r="B49" s="5">
        <f>Rdson4*1000</f>
        <v>2.5</v>
      </c>
      <c r="C49" s="442" t="s">
        <v>466</v>
      </c>
      <c r="D49" s="440" t="s">
        <v>527</v>
      </c>
      <c r="G49">
        <v>40</v>
      </c>
      <c r="H49" s="548">
        <f t="shared" si="0"/>
        <v>21</v>
      </c>
      <c r="I49" s="4">
        <f t="shared" si="49"/>
        <v>1</v>
      </c>
      <c r="J49" s="360">
        <f t="shared" si="81"/>
        <v>2</v>
      </c>
      <c r="K49" s="4">
        <f t="shared" si="50"/>
        <v>2.1164021164021163</v>
      </c>
      <c r="L49" s="4"/>
      <c r="M49" s="360">
        <f t="shared" si="51"/>
        <v>0.95333555544974047</v>
      </c>
      <c r="N49" s="4">
        <f t="shared" si="52"/>
        <v>0.31078739107661585</v>
      </c>
      <c r="O49" s="4">
        <f t="shared" si="35"/>
        <v>2.155393695538308</v>
      </c>
      <c r="P49" s="4">
        <f t="shared" si="36"/>
        <v>1.844606304461692</v>
      </c>
      <c r="Q49" s="4">
        <f t="shared" si="53"/>
        <v>0</v>
      </c>
      <c r="R49" s="4">
        <f t="shared" si="54"/>
        <v>2.0020112554306526</v>
      </c>
      <c r="S49" s="360">
        <f t="shared" si="55"/>
        <v>2.004024533435509E-2</v>
      </c>
      <c r="T49" s="360">
        <f t="shared" si="56"/>
        <v>0.3</v>
      </c>
      <c r="U49" s="360">
        <f t="shared" si="57"/>
        <v>0.32055416406161458</v>
      </c>
      <c r="V49" s="4">
        <f t="shared" si="37"/>
        <v>8.9716591949412838E-2</v>
      </c>
      <c r="W49" s="360">
        <f t="shared" si="58"/>
        <v>1.6098133742034897E-5</v>
      </c>
      <c r="X49" s="360">
        <f t="shared" si="38"/>
        <v>1.6098133742034897E-5</v>
      </c>
      <c r="Y49" s="4">
        <f t="shared" si="59"/>
        <v>0.4222624474013032</v>
      </c>
      <c r="Z49" s="360">
        <f t="shared" si="12"/>
        <v>1.7830557448533836E-4</v>
      </c>
      <c r="AA49" s="541">
        <f t="shared" si="39"/>
        <v>1.7830557448533836E-4</v>
      </c>
      <c r="AB49" s="360">
        <f t="shared" si="60"/>
        <v>1.9547418457267689</v>
      </c>
      <c r="AC49" s="360">
        <f t="shared" si="61"/>
        <v>2.292609410061177E-2</v>
      </c>
      <c r="AD49" s="360">
        <f t="shared" si="62"/>
        <v>0.14936469718176229</v>
      </c>
      <c r="AE49" s="360">
        <f t="shared" si="63"/>
        <v>0.6042329999999998</v>
      </c>
      <c r="AF49" s="360">
        <f t="shared" si="64"/>
        <v>0</v>
      </c>
      <c r="AG49" s="360">
        <f t="shared" si="65"/>
        <v>0.77923925799082328</v>
      </c>
      <c r="AH49" s="360">
        <f t="shared" si="66"/>
        <v>0.43247356385763286</v>
      </c>
      <c r="AI49" s="360">
        <f t="shared" si="67"/>
        <v>4.6758345858930513E-4</v>
      </c>
      <c r="AJ49" s="360">
        <f t="shared" si="68"/>
        <v>7.8399999999999997E-2</v>
      </c>
      <c r="AK49" s="360">
        <f t="shared" si="69"/>
        <v>7.8874959583868962E-2</v>
      </c>
      <c r="AL49" s="360">
        <f t="shared" si="70"/>
        <v>7.8399999999999997E-2</v>
      </c>
      <c r="AM49" s="360">
        <f t="shared" si="71"/>
        <v>1.0079999999999998</v>
      </c>
      <c r="AN49" s="360">
        <f t="shared" si="72"/>
        <v>1.6032196267484072E-2</v>
      </c>
      <c r="AO49" s="360">
        <f t="shared" si="73"/>
        <v>7.3499999999999998E-4</v>
      </c>
      <c r="AP49" s="360">
        <f t="shared" si="74"/>
        <v>0.32999999999999996</v>
      </c>
      <c r="AQ49" s="360">
        <f t="shared" si="75"/>
        <v>1.2539999999999998</v>
      </c>
      <c r="AR49" s="360">
        <f t="shared" si="76"/>
        <v>1.0559999999999998</v>
      </c>
      <c r="AS49" s="360">
        <f t="shared" si="48"/>
        <v>0.33073499999999995</v>
      </c>
      <c r="AT49" s="360">
        <f t="shared" si="41"/>
        <v>2.612029981612018</v>
      </c>
      <c r="AU49">
        <f t="shared" si="77"/>
        <v>40</v>
      </c>
      <c r="AV49" s="542">
        <f t="shared" si="42"/>
        <v>0.93870205238428761</v>
      </c>
      <c r="AW49" s="551">
        <f t="shared" si="78"/>
        <v>72.225962899541145</v>
      </c>
      <c r="AX49" s="551">
        <f t="shared" si="79"/>
        <v>15.637568464187019</v>
      </c>
      <c r="AY49" s="9"/>
      <c r="AZ49" s="4">
        <f t="shared" si="43"/>
        <v>93.870205238428767</v>
      </c>
      <c r="BA49" s="360">
        <f t="shared" si="80"/>
        <v>0.32055416406161458</v>
      </c>
      <c r="BB49" s="360">
        <f t="shared" si="44"/>
        <v>1.8661142175746921</v>
      </c>
      <c r="BC49" s="360">
        <f t="shared" si="45"/>
        <v>1.444519257990823</v>
      </c>
      <c r="BD49" s="360">
        <f t="shared" si="46"/>
        <v>0.41151495958386891</v>
      </c>
      <c r="BE49" s="360">
        <f t="shared" si="47"/>
        <v>1.6032196267484072E-2</v>
      </c>
    </row>
    <row r="50" spans="1:64" x14ac:dyDescent="0.2">
      <c r="A50" s="23" t="s">
        <v>80</v>
      </c>
      <c r="B50" s="5">
        <f>RdsonBotTc*1000000</f>
        <v>4000</v>
      </c>
      <c r="C50" s="440" t="s">
        <v>81</v>
      </c>
      <c r="D50" s="21" t="s">
        <v>104</v>
      </c>
      <c r="G50">
        <v>41</v>
      </c>
      <c r="H50" s="548">
        <f t="shared" si="0"/>
        <v>21</v>
      </c>
      <c r="I50" s="4">
        <f t="shared" si="49"/>
        <v>1</v>
      </c>
      <c r="J50" s="360">
        <f t="shared" si="81"/>
        <v>2.0499999999999998</v>
      </c>
      <c r="K50" s="4">
        <f t="shared" si="50"/>
        <v>2.1693121693121689</v>
      </c>
      <c r="L50" s="4"/>
      <c r="M50" s="360">
        <f t="shared" si="51"/>
        <v>0.95335941936167412</v>
      </c>
      <c r="N50" s="4">
        <f t="shared" si="52"/>
        <v>0.3106203881516898</v>
      </c>
      <c r="O50" s="4">
        <f t="shared" si="35"/>
        <v>2.2053101940758446</v>
      </c>
      <c r="P50" s="4">
        <f t="shared" si="36"/>
        <v>1.894689805924155</v>
      </c>
      <c r="Q50" s="4">
        <f t="shared" si="53"/>
        <v>0</v>
      </c>
      <c r="R50" s="4">
        <f t="shared" si="54"/>
        <v>2.0519601406447019</v>
      </c>
      <c r="S50" s="360">
        <f t="shared" si="55"/>
        <v>2.1052702093973124E-2</v>
      </c>
      <c r="T50" s="360">
        <f t="shared" si="56"/>
        <v>0.3</v>
      </c>
      <c r="U50" s="360">
        <f t="shared" si="57"/>
        <v>0.32159433647484625</v>
      </c>
      <c r="V50" s="4">
        <f t="shared" si="37"/>
        <v>8.966838235758208E-2</v>
      </c>
      <c r="W50" s="360">
        <f t="shared" si="58"/>
        <v>1.6080837589251075E-5</v>
      </c>
      <c r="X50" s="360">
        <f t="shared" si="38"/>
        <v>1.6080837589251075E-5</v>
      </c>
      <c r="Y50" s="4">
        <f t="shared" si="59"/>
        <v>0.43269235849257576</v>
      </c>
      <c r="Z50" s="360">
        <f t="shared" si="12"/>
        <v>1.872226770978677E-4</v>
      </c>
      <c r="AA50" s="541">
        <f t="shared" si="39"/>
        <v>1.872226770978677E-4</v>
      </c>
      <c r="AB50" s="360">
        <f t="shared" si="60"/>
        <v>2.0035364655680477</v>
      </c>
      <c r="AC50" s="360">
        <f t="shared" si="61"/>
        <v>2.4084950213165427E-2</v>
      </c>
      <c r="AD50" s="360">
        <f t="shared" si="62"/>
        <v>0.15309881461130634</v>
      </c>
      <c r="AE50" s="360">
        <f t="shared" si="63"/>
        <v>0.6042329999999998</v>
      </c>
      <c r="AF50" s="360">
        <f t="shared" si="64"/>
        <v>0</v>
      </c>
      <c r="AG50" s="360">
        <f t="shared" si="65"/>
        <v>0.78428797442061082</v>
      </c>
      <c r="AH50" s="360">
        <f t="shared" si="66"/>
        <v>0.44315014378167716</v>
      </c>
      <c r="AI50" s="360">
        <f t="shared" si="67"/>
        <v>4.9095512483430278E-4</v>
      </c>
      <c r="AJ50" s="360">
        <f t="shared" si="68"/>
        <v>8.0359999999999987E-2</v>
      </c>
      <c r="AK50" s="360">
        <f t="shared" si="69"/>
        <v>8.0858894742586743E-2</v>
      </c>
      <c r="AL50" s="360">
        <f t="shared" si="70"/>
        <v>8.0359999999999987E-2</v>
      </c>
      <c r="AM50" s="360">
        <f t="shared" si="71"/>
        <v>1.0331999999999999</v>
      </c>
      <c r="AN50" s="360">
        <f t="shared" si="72"/>
        <v>1.6842161675178498E-2</v>
      </c>
      <c r="AO50" s="360">
        <f t="shared" si="73"/>
        <v>7.3499999999999998E-4</v>
      </c>
      <c r="AP50" s="360">
        <f t="shared" si="74"/>
        <v>0.32999999999999996</v>
      </c>
      <c r="AQ50" s="360">
        <f t="shared" si="75"/>
        <v>1.2539999999999998</v>
      </c>
      <c r="AR50" s="360">
        <f t="shared" si="76"/>
        <v>1.0559999999999998</v>
      </c>
      <c r="AS50" s="360">
        <f t="shared" si="48"/>
        <v>0.33073499999999995</v>
      </c>
      <c r="AT50" s="360">
        <f t="shared" si="41"/>
        <v>2.6480816708279091</v>
      </c>
      <c r="AU50">
        <f t="shared" si="77"/>
        <v>41</v>
      </c>
      <c r="AV50" s="542">
        <f t="shared" si="42"/>
        <v>0.93933108696967671</v>
      </c>
      <c r="AW50" s="551">
        <f t="shared" si="78"/>
        <v>73.309998721030539</v>
      </c>
      <c r="AX50" s="551">
        <f t="shared" si="79"/>
        <v>16.028966000218293</v>
      </c>
      <c r="AY50" s="9"/>
      <c r="AZ50" s="4">
        <f t="shared" si="43"/>
        <v>93.933108696967665</v>
      </c>
      <c r="BA50" s="360">
        <f t="shared" si="80"/>
        <v>0.32159433647484625</v>
      </c>
      <c r="BB50" s="360">
        <f t="shared" si="44"/>
        <v>1.8983468691631975</v>
      </c>
      <c r="BC50" s="360">
        <f t="shared" si="45"/>
        <v>1.4661999744206109</v>
      </c>
      <c r="BD50" s="360">
        <f t="shared" si="46"/>
        <v>0.42181489474258671</v>
      </c>
      <c r="BE50" s="360">
        <f t="shared" si="47"/>
        <v>1.6842161675178498E-2</v>
      </c>
    </row>
    <row r="51" spans="1:64" x14ac:dyDescent="0.2">
      <c r="A51" s="23" t="s">
        <v>67</v>
      </c>
      <c r="B51" s="5">
        <f>Qg_Q4*1000000000</f>
        <v>25</v>
      </c>
      <c r="C51" s="440" t="s">
        <v>65</v>
      </c>
      <c r="D51" s="21" t="s">
        <v>99</v>
      </c>
      <c r="G51">
        <v>42</v>
      </c>
      <c r="H51" s="548">
        <f t="shared" si="0"/>
        <v>21</v>
      </c>
      <c r="I51" s="4">
        <f t="shared" si="49"/>
        <v>1</v>
      </c>
      <c r="J51" s="360">
        <f t="shared" si="81"/>
        <v>2.1</v>
      </c>
      <c r="K51" s="4">
        <f t="shared" si="50"/>
        <v>2.2222222222222219</v>
      </c>
      <c r="L51" s="4"/>
      <c r="M51" s="360">
        <f t="shared" si="51"/>
        <v>0.95338328321679155</v>
      </c>
      <c r="N51" s="4">
        <f t="shared" si="52"/>
        <v>0.3104533764581614</v>
      </c>
      <c r="O51" s="4">
        <f t="shared" si="35"/>
        <v>2.2552266882290808</v>
      </c>
      <c r="P51" s="4">
        <f t="shared" si="36"/>
        <v>1.9447733117709194</v>
      </c>
      <c r="Q51" s="4">
        <f t="shared" si="53"/>
        <v>0</v>
      </c>
      <c r="R51" s="4">
        <f t="shared" si="54"/>
        <v>2.1019114574388849</v>
      </c>
      <c r="S51" s="360">
        <f t="shared" si="55"/>
        <v>2.2090158874564288E-2</v>
      </c>
      <c r="T51" s="360">
        <f t="shared" si="56"/>
        <v>0.3</v>
      </c>
      <c r="U51" s="360">
        <f t="shared" si="57"/>
        <v>0.32266036837856493</v>
      </c>
      <c r="V51" s="4">
        <f t="shared" si="37"/>
        <v>8.9620170234473856E-2</v>
      </c>
      <c r="W51" s="360">
        <f t="shared" si="58"/>
        <v>1.6063549825712149E-5</v>
      </c>
      <c r="X51" s="360">
        <f t="shared" si="38"/>
        <v>1.6063549825712149E-5</v>
      </c>
      <c r="Y51" s="4">
        <f t="shared" si="59"/>
        <v>0.44311762587662529</v>
      </c>
      <c r="Z51" s="360">
        <f t="shared" si="12"/>
        <v>1.9635323036253685E-4</v>
      </c>
      <c r="AA51" s="541">
        <f t="shared" si="39"/>
        <v>1.9635323036253685E-4</v>
      </c>
      <c r="AB51" s="360">
        <f t="shared" si="60"/>
        <v>2.0523346800467337</v>
      </c>
      <c r="AC51" s="360">
        <f t="shared" si="61"/>
        <v>2.5272465833535176E-2</v>
      </c>
      <c r="AD51" s="360">
        <f t="shared" si="62"/>
        <v>0.15683293204085041</v>
      </c>
      <c r="AE51" s="360">
        <f t="shared" si="63"/>
        <v>0.6042329999999998</v>
      </c>
      <c r="AF51" s="360">
        <f t="shared" si="64"/>
        <v>0</v>
      </c>
      <c r="AG51" s="360">
        <f t="shared" si="65"/>
        <v>0.78937069816227889</v>
      </c>
      <c r="AH51" s="360">
        <f t="shared" si="66"/>
        <v>0.45382170066043381</v>
      </c>
      <c r="AI51" s="360">
        <f t="shared" si="67"/>
        <v>5.1488533997582102E-4</v>
      </c>
      <c r="AJ51" s="360">
        <f t="shared" si="68"/>
        <v>8.2320000000000004E-2</v>
      </c>
      <c r="AK51" s="360">
        <f t="shared" si="69"/>
        <v>8.2843416312090343E-2</v>
      </c>
      <c r="AL51" s="360">
        <f t="shared" si="70"/>
        <v>8.2320000000000004E-2</v>
      </c>
      <c r="AM51" s="360">
        <f t="shared" si="71"/>
        <v>1.0583999999999998</v>
      </c>
      <c r="AN51" s="360">
        <f t="shared" si="72"/>
        <v>1.7672127099651429E-2</v>
      </c>
      <c r="AO51" s="360">
        <f t="shared" si="73"/>
        <v>7.3499999999999998E-4</v>
      </c>
      <c r="AP51" s="360">
        <f t="shared" si="74"/>
        <v>0.32999999999999996</v>
      </c>
      <c r="AQ51" s="360">
        <f t="shared" si="75"/>
        <v>1.2539999999999998</v>
      </c>
      <c r="AR51" s="360">
        <f t="shared" si="76"/>
        <v>1.0559999999999998</v>
      </c>
      <c r="AS51" s="360">
        <f t="shared" si="48"/>
        <v>0.33073499999999995</v>
      </c>
      <c r="AT51" s="360">
        <f t="shared" si="41"/>
        <v>2.6842140267327732</v>
      </c>
      <c r="AU51">
        <f t="shared" si="77"/>
        <v>42</v>
      </c>
      <c r="AV51" s="542">
        <f t="shared" si="42"/>
        <v>0.93992925499088076</v>
      </c>
      <c r="AW51" s="551">
        <f t="shared" si="78"/>
        <v>74.395734908113937</v>
      </c>
      <c r="AX51" s="551">
        <f t="shared" si="79"/>
        <v>16.420385819859433</v>
      </c>
      <c r="AY51" s="9"/>
      <c r="AZ51" s="4">
        <f t="shared" si="43"/>
        <v>93.992925499088074</v>
      </c>
      <c r="BA51" s="360">
        <f t="shared" si="80"/>
        <v>0.32266036837856493</v>
      </c>
      <c r="BB51" s="360">
        <f t="shared" si="44"/>
        <v>1.9306141144743689</v>
      </c>
      <c r="BC51" s="360">
        <f t="shared" si="45"/>
        <v>1.4879146981622788</v>
      </c>
      <c r="BD51" s="360">
        <f t="shared" si="46"/>
        <v>0.43211541631209033</v>
      </c>
      <c r="BE51" s="360">
        <f t="shared" si="47"/>
        <v>1.7672127099651429E-2</v>
      </c>
    </row>
    <row r="52" spans="1:64" x14ac:dyDescent="0.2">
      <c r="A52" s="23" t="s">
        <v>91</v>
      </c>
      <c r="B52" s="5">
        <f>Rgate4</f>
        <v>0.5</v>
      </c>
      <c r="C52" s="444" t="s">
        <v>116</v>
      </c>
      <c r="D52" s="21" t="s">
        <v>100</v>
      </c>
      <c r="G52">
        <v>43</v>
      </c>
      <c r="H52" s="548">
        <f t="shared" si="0"/>
        <v>21</v>
      </c>
      <c r="I52" s="4">
        <f t="shared" si="49"/>
        <v>1</v>
      </c>
      <c r="J52" s="360">
        <f t="shared" si="81"/>
        <v>2.15</v>
      </c>
      <c r="K52" s="4">
        <f t="shared" si="50"/>
        <v>2.2751322751322749</v>
      </c>
      <c r="L52" s="4"/>
      <c r="M52" s="360">
        <f t="shared" si="51"/>
        <v>0.95340714701509321</v>
      </c>
      <c r="N52" s="4">
        <f t="shared" si="52"/>
        <v>0.31028635599606208</v>
      </c>
      <c r="O52" s="4">
        <f t="shared" si="35"/>
        <v>2.3051431779980311</v>
      </c>
      <c r="P52" s="4">
        <f t="shared" si="36"/>
        <v>1.9948568220019689</v>
      </c>
      <c r="Q52" s="4">
        <f t="shared" si="53"/>
        <v>0</v>
      </c>
      <c r="R52" s="4">
        <f t="shared" si="54"/>
        <v>2.1518650364803187</v>
      </c>
      <c r="S52" s="360">
        <f t="shared" si="55"/>
        <v>2.3152615676132218E-2</v>
      </c>
      <c r="T52" s="360">
        <f t="shared" si="56"/>
        <v>0.3</v>
      </c>
      <c r="U52" s="360">
        <f t="shared" si="57"/>
        <v>0.32375227263153317</v>
      </c>
      <c r="V52" s="4">
        <f t="shared" si="37"/>
        <v>8.9571955580097257E-2</v>
      </c>
      <c r="W52" s="360">
        <f t="shared" si="58"/>
        <v>1.604627045288583E-5</v>
      </c>
      <c r="X52" s="360">
        <f t="shared" si="38"/>
        <v>1.604627045288583E-5</v>
      </c>
      <c r="Y52" s="4">
        <f t="shared" si="59"/>
        <v>0.45353821120891563</v>
      </c>
      <c r="Z52" s="360">
        <f t="shared" si="12"/>
        <v>2.0569690902658296E-4</v>
      </c>
      <c r="AA52" s="541">
        <f t="shared" si="39"/>
        <v>2.0569690902658296E-4</v>
      </c>
      <c r="AB52" s="360">
        <f t="shared" si="60"/>
        <v>2.1011363238837282</v>
      </c>
      <c r="AC52" s="360">
        <f t="shared" si="61"/>
        <v>2.6488643109261762E-2</v>
      </c>
      <c r="AD52" s="360">
        <f t="shared" si="62"/>
        <v>0.16056704947039446</v>
      </c>
      <c r="AE52" s="360">
        <f t="shared" si="63"/>
        <v>0.6042329999999998</v>
      </c>
      <c r="AF52" s="360">
        <f t="shared" si="64"/>
        <v>0</v>
      </c>
      <c r="AG52" s="360">
        <f t="shared" si="65"/>
        <v>0.79448751681538432</v>
      </c>
      <c r="AH52" s="360">
        <f t="shared" si="66"/>
        <v>0.46448819541815622</v>
      </c>
      <c r="AI52" s="360">
        <f t="shared" si="67"/>
        <v>5.393732092070382E-4</v>
      </c>
      <c r="AJ52" s="360">
        <f t="shared" si="68"/>
        <v>8.4279999999999994E-2</v>
      </c>
      <c r="AK52" s="360">
        <f t="shared" si="69"/>
        <v>8.4828524055857488E-2</v>
      </c>
      <c r="AL52" s="360">
        <f t="shared" si="70"/>
        <v>8.4279999999999994E-2</v>
      </c>
      <c r="AM52" s="360">
        <f t="shared" si="71"/>
        <v>1.0835999999999999</v>
      </c>
      <c r="AN52" s="360">
        <f t="shared" si="72"/>
        <v>1.8522092540905775E-2</v>
      </c>
      <c r="AO52" s="360">
        <f t="shared" si="73"/>
        <v>7.3499999999999998E-4</v>
      </c>
      <c r="AP52" s="360">
        <f t="shared" si="74"/>
        <v>0.32999999999999996</v>
      </c>
      <c r="AQ52" s="360">
        <f t="shared" si="75"/>
        <v>1.2539999999999998</v>
      </c>
      <c r="AR52" s="360">
        <f t="shared" si="76"/>
        <v>1.0559999999999998</v>
      </c>
      <c r="AS52" s="360">
        <f t="shared" si="48"/>
        <v>0.33073499999999995</v>
      </c>
      <c r="AT52" s="360">
        <f t="shared" si="41"/>
        <v>2.72042714922316</v>
      </c>
      <c r="AU52">
        <f t="shared" si="77"/>
        <v>43</v>
      </c>
      <c r="AV52" s="542">
        <f t="shared" si="42"/>
        <v>0.94049864975355146</v>
      </c>
      <c r="AW52" s="551">
        <f t="shared" si="78"/>
        <v>75.483175840769206</v>
      </c>
      <c r="AX52" s="551">
        <f t="shared" si="79"/>
        <v>16.811827914122585</v>
      </c>
      <c r="AY52" s="9"/>
      <c r="AZ52" s="4">
        <f t="shared" si="43"/>
        <v>94.049864975355149</v>
      </c>
      <c r="BA52" s="360">
        <f t="shared" si="80"/>
        <v>0.32375227263153317</v>
      </c>
      <c r="BB52" s="360">
        <f t="shared" si="44"/>
        <v>1.9629160408712418</v>
      </c>
      <c r="BC52" s="360">
        <f t="shared" si="45"/>
        <v>1.5096635168153842</v>
      </c>
      <c r="BD52" s="360">
        <f t="shared" si="46"/>
        <v>0.44241652405585746</v>
      </c>
      <c r="BE52" s="360">
        <f t="shared" si="47"/>
        <v>1.8522092540905775E-2</v>
      </c>
    </row>
    <row r="53" spans="1:64" x14ac:dyDescent="0.2">
      <c r="A53" s="23" t="s">
        <v>72</v>
      </c>
      <c r="B53" s="5">
        <f>Vsd_Q4</f>
        <v>0.7</v>
      </c>
      <c r="C53" s="440" t="s">
        <v>0</v>
      </c>
      <c r="D53" s="21" t="s">
        <v>105</v>
      </c>
      <c r="G53">
        <v>44</v>
      </c>
      <c r="H53" s="548">
        <f t="shared" si="0"/>
        <v>21</v>
      </c>
      <c r="I53" s="4">
        <f t="shared" si="49"/>
        <v>1</v>
      </c>
      <c r="J53" s="360">
        <f t="shared" si="81"/>
        <v>2.2000000000000002</v>
      </c>
      <c r="K53" s="4">
        <f t="shared" si="50"/>
        <v>2.3280423280423279</v>
      </c>
      <c r="L53" s="4"/>
      <c r="M53" s="360">
        <f t="shared" si="51"/>
        <v>0.95343101075657932</v>
      </c>
      <c r="N53" s="4">
        <f t="shared" si="52"/>
        <v>0.31011932676542325</v>
      </c>
      <c r="O53" s="4">
        <f t="shared" si="35"/>
        <v>2.3550596633827117</v>
      </c>
      <c r="P53" s="4">
        <f t="shared" si="36"/>
        <v>2.0449403366172887</v>
      </c>
      <c r="Q53" s="4">
        <f t="shared" si="53"/>
        <v>0</v>
      </c>
      <c r="R53" s="4">
        <f t="shared" si="54"/>
        <v>2.2018207237956773</v>
      </c>
      <c r="S53" s="360">
        <f t="shared" si="55"/>
        <v>2.4240072498680602E-2</v>
      </c>
      <c r="T53" s="360">
        <f t="shared" si="56"/>
        <v>0.3</v>
      </c>
      <c r="U53" s="360">
        <f t="shared" si="57"/>
        <v>0.32487006240791411</v>
      </c>
      <c r="V53" s="4">
        <f t="shared" si="37"/>
        <v>8.9523738394461316E-2</v>
      </c>
      <c r="W53" s="360">
        <f t="shared" si="58"/>
        <v>1.6028999472239895E-5</v>
      </c>
      <c r="X53" s="360">
        <f t="shared" si="38"/>
        <v>1.6028999472239895E-5</v>
      </c>
      <c r="Y53" s="4">
        <f t="shared" si="59"/>
        <v>0.46395407941371453</v>
      </c>
      <c r="Z53" s="360">
        <f t="shared" si="12"/>
        <v>2.1525338780462733E-4</v>
      </c>
      <c r="AA53" s="541">
        <f t="shared" si="39"/>
        <v>2.1525338780462733E-4</v>
      </c>
      <c r="AB53" s="360">
        <f t="shared" si="60"/>
        <v>2.1499412467893073</v>
      </c>
      <c r="AC53" s="360">
        <f t="shared" si="61"/>
        <v>2.7733484187875766E-2</v>
      </c>
      <c r="AD53" s="360">
        <f t="shared" si="62"/>
        <v>0.16430116689993851</v>
      </c>
      <c r="AE53" s="360">
        <f t="shared" si="63"/>
        <v>0.6042329999999998</v>
      </c>
      <c r="AF53" s="360">
        <f t="shared" si="64"/>
        <v>0</v>
      </c>
      <c r="AG53" s="360">
        <f t="shared" si="65"/>
        <v>0.79963851894543503</v>
      </c>
      <c r="AH53" s="360">
        <f t="shared" si="66"/>
        <v>0.47514959232873055</v>
      </c>
      <c r="AI53" s="360">
        <f t="shared" si="67"/>
        <v>5.6441783772539708E-4</v>
      </c>
      <c r="AJ53" s="360">
        <f t="shared" si="68"/>
        <v>8.6240000000000011E-2</v>
      </c>
      <c r="AK53" s="360">
        <f t="shared" si="69"/>
        <v>8.6814217736337129E-2</v>
      </c>
      <c r="AL53" s="360">
        <f t="shared" si="70"/>
        <v>8.6240000000000011E-2</v>
      </c>
      <c r="AM53" s="360">
        <f t="shared" si="71"/>
        <v>1.1088</v>
      </c>
      <c r="AN53" s="360">
        <f t="shared" si="72"/>
        <v>1.939205799894448E-2</v>
      </c>
      <c r="AO53" s="360">
        <f t="shared" si="73"/>
        <v>7.3499999999999998E-4</v>
      </c>
      <c r="AP53" s="360">
        <f t="shared" si="74"/>
        <v>0.32999999999999996</v>
      </c>
      <c r="AQ53" s="360">
        <f t="shared" si="75"/>
        <v>1.2539999999999998</v>
      </c>
      <c r="AR53" s="360">
        <f t="shared" si="76"/>
        <v>1.0559999999999998</v>
      </c>
      <c r="AS53" s="360">
        <f t="shared" si="48"/>
        <v>0.33073499999999995</v>
      </c>
      <c r="AT53" s="360">
        <f t="shared" si="41"/>
        <v>2.7567211394759075</v>
      </c>
      <c r="AU53">
        <f t="shared" si="77"/>
        <v>44</v>
      </c>
      <c r="AV53" s="542">
        <f t="shared" si="42"/>
        <v>0.94104117927233233</v>
      </c>
      <c r="AW53" s="551">
        <f t="shared" si="78"/>
        <v>76.57232594727175</v>
      </c>
      <c r="AX53" s="551">
        <f t="shared" si="79"/>
        <v>17.203292273980811</v>
      </c>
      <c r="AY53" s="9"/>
      <c r="AZ53" s="4">
        <f t="shared" si="43"/>
        <v>94.104117927233233</v>
      </c>
      <c r="BA53" s="360">
        <f t="shared" si="80"/>
        <v>0.32487006240791411</v>
      </c>
      <c r="BB53" s="360">
        <f t="shared" si="44"/>
        <v>1.9952527366817723</v>
      </c>
      <c r="BC53" s="360">
        <f t="shared" si="45"/>
        <v>1.5314465189454349</v>
      </c>
      <c r="BD53" s="360">
        <f t="shared" si="46"/>
        <v>0.45271821773633714</v>
      </c>
      <c r="BE53" s="360">
        <f t="shared" si="47"/>
        <v>1.939205799894448E-2</v>
      </c>
    </row>
    <row r="54" spans="1:64" x14ac:dyDescent="0.2">
      <c r="A54" s="23" t="s">
        <v>73</v>
      </c>
      <c r="B54" s="5">
        <f>Qrr_Q4*1000000000</f>
        <v>59.999999999999993</v>
      </c>
      <c r="C54" s="440" t="s">
        <v>65</v>
      </c>
      <c r="D54" s="21" t="s">
        <v>110</v>
      </c>
      <c r="G54">
        <v>45</v>
      </c>
      <c r="H54" s="548">
        <f t="shared" si="0"/>
        <v>21</v>
      </c>
      <c r="I54" s="4">
        <f t="shared" si="49"/>
        <v>1</v>
      </c>
      <c r="J54" s="360">
        <f t="shared" si="81"/>
        <v>2.25</v>
      </c>
      <c r="K54" s="4">
        <f t="shared" si="50"/>
        <v>2.3809523809523805</v>
      </c>
      <c r="L54" s="4"/>
      <c r="M54" s="360">
        <f t="shared" si="51"/>
        <v>0.95345487444125021</v>
      </c>
      <c r="N54" s="4">
        <f t="shared" si="52"/>
        <v>0.30995228876627612</v>
      </c>
      <c r="O54" s="4">
        <f t="shared" si="35"/>
        <v>2.4049761443831379</v>
      </c>
      <c r="P54" s="4">
        <f t="shared" si="36"/>
        <v>2.0950238556168621</v>
      </c>
      <c r="Q54" s="4">
        <f t="shared" si="53"/>
        <v>0</v>
      </c>
      <c r="R54" s="4">
        <f t="shared" si="54"/>
        <v>2.2517783790690018</v>
      </c>
      <c r="S54" s="360">
        <f t="shared" si="55"/>
        <v>2.5352529342213104E-2</v>
      </c>
      <c r="T54" s="360">
        <f t="shared" si="56"/>
        <v>0.3</v>
      </c>
      <c r="U54" s="360">
        <f t="shared" si="57"/>
        <v>0.3260137511976694</v>
      </c>
      <c r="V54" s="4">
        <f t="shared" si="37"/>
        <v>8.9475518677575069E-2</v>
      </c>
      <c r="W54" s="360">
        <f t="shared" si="58"/>
        <v>1.6011736885242169E-5</v>
      </c>
      <c r="X54" s="360">
        <f t="shared" si="38"/>
        <v>1.6011736885242169E-5</v>
      </c>
      <c r="Y54" s="4">
        <f t="shared" si="59"/>
        <v>0.47436519832158258</v>
      </c>
      <c r="Z54" s="360">
        <f t="shared" si="12"/>
        <v>2.2502234137867439E-4</v>
      </c>
      <c r="AA54" s="541">
        <f t="shared" si="39"/>
        <v>2.2502234137867439E-4</v>
      </c>
      <c r="AB54" s="360">
        <f t="shared" si="60"/>
        <v>2.1987493118019574</v>
      </c>
      <c r="AC54" s="360">
        <f t="shared" si="61"/>
        <v>2.9006991216897489E-2</v>
      </c>
      <c r="AD54" s="360">
        <f t="shared" si="62"/>
        <v>0.16803528432948259</v>
      </c>
      <c r="AE54" s="360">
        <f t="shared" si="63"/>
        <v>0.6042329999999998</v>
      </c>
      <c r="AF54" s="360">
        <f t="shared" si="64"/>
        <v>0</v>
      </c>
      <c r="AG54" s="360">
        <f t="shared" si="65"/>
        <v>0.80482379408877491</v>
      </c>
      <c r="AH54" s="360">
        <f t="shared" si="66"/>
        <v>0.48580585864421133</v>
      </c>
      <c r="AI54" s="360">
        <f t="shared" si="67"/>
        <v>5.9001833073259863E-4</v>
      </c>
      <c r="AJ54" s="360">
        <f t="shared" si="68"/>
        <v>8.8200000000000001E-2</v>
      </c>
      <c r="AK54" s="360">
        <f t="shared" si="69"/>
        <v>8.8800497114947793E-2</v>
      </c>
      <c r="AL54" s="360">
        <f t="shared" si="70"/>
        <v>8.8200000000000001E-2</v>
      </c>
      <c r="AM54" s="360">
        <f t="shared" si="71"/>
        <v>1.1339999999999999</v>
      </c>
      <c r="AN54" s="360">
        <f t="shared" si="72"/>
        <v>2.0282023473770484E-2</v>
      </c>
      <c r="AO54" s="360">
        <f t="shared" si="73"/>
        <v>7.3499999999999998E-4</v>
      </c>
      <c r="AP54" s="360">
        <f t="shared" si="74"/>
        <v>0.32999999999999996</v>
      </c>
      <c r="AQ54" s="360">
        <f t="shared" si="75"/>
        <v>1.2539999999999998</v>
      </c>
      <c r="AR54" s="360">
        <f t="shared" si="76"/>
        <v>1.0559999999999998</v>
      </c>
      <c r="AS54" s="360">
        <f t="shared" si="48"/>
        <v>0.33073499999999995</v>
      </c>
      <c r="AT54" s="360">
        <f t="shared" si="41"/>
        <v>2.7930960999534262</v>
      </c>
      <c r="AU54">
        <f t="shared" si="77"/>
        <v>45</v>
      </c>
      <c r="AV54" s="542">
        <f t="shared" si="42"/>
        <v>0.94155858632569012</v>
      </c>
      <c r="AW54" s="551">
        <f t="shared" si="78"/>
        <v>77.66318970443875</v>
      </c>
      <c r="AX54" s="551">
        <f t="shared" si="79"/>
        <v>17.594778890368016</v>
      </c>
      <c r="AY54" s="9"/>
      <c r="AZ54" s="4">
        <f t="shared" si="43"/>
        <v>94.155858632569007</v>
      </c>
      <c r="BA54" s="360">
        <f t="shared" si="80"/>
        <v>0.3260137511976694</v>
      </c>
      <c r="BB54" s="360">
        <f t="shared" si="44"/>
        <v>2.0276242912037228</v>
      </c>
      <c r="BC54" s="360">
        <f t="shared" si="45"/>
        <v>1.553263794088775</v>
      </c>
      <c r="BD54" s="360">
        <f t="shared" si="46"/>
        <v>0.4630204971149478</v>
      </c>
      <c r="BE54" s="360">
        <f t="shared" si="47"/>
        <v>2.0282023473770484E-2</v>
      </c>
    </row>
    <row r="55" spans="1:64" x14ac:dyDescent="0.2">
      <c r="A55" s="23" t="s">
        <v>74</v>
      </c>
      <c r="B55" s="5">
        <f>Trr_Q4*1000000000</f>
        <v>40</v>
      </c>
      <c r="C55" s="440" t="s">
        <v>75</v>
      </c>
      <c r="D55" s="76" t="s">
        <v>106</v>
      </c>
      <c r="G55">
        <v>46</v>
      </c>
      <c r="H55" s="548">
        <f t="shared" si="0"/>
        <v>21</v>
      </c>
      <c r="I55" s="4">
        <f t="shared" si="49"/>
        <v>1</v>
      </c>
      <c r="J55" s="360">
        <f t="shared" si="81"/>
        <v>2.2999999999999998</v>
      </c>
      <c r="K55" s="4">
        <f t="shared" si="50"/>
        <v>2.4338624338624335</v>
      </c>
      <c r="L55" s="4"/>
      <c r="M55" s="360">
        <f t="shared" si="51"/>
        <v>0.95347873806910577</v>
      </c>
      <c r="N55" s="4">
        <f t="shared" si="52"/>
        <v>0.30978524199865204</v>
      </c>
      <c r="O55" s="4">
        <f t="shared" si="35"/>
        <v>2.4548926209993258</v>
      </c>
      <c r="P55" s="4">
        <f t="shared" si="36"/>
        <v>2.1451073790006738</v>
      </c>
      <c r="Q55" s="4">
        <f t="shared" si="53"/>
        <v>0</v>
      </c>
      <c r="R55" s="4">
        <f t="shared" si="54"/>
        <v>2.3017378741608869</v>
      </c>
      <c r="S55" s="360">
        <f t="shared" si="55"/>
        <v>2.6489986206733398E-2</v>
      </c>
      <c r="T55" s="360">
        <f t="shared" si="56"/>
        <v>0.3</v>
      </c>
      <c r="U55" s="360">
        <f t="shared" si="57"/>
        <v>0.3271833528069677</v>
      </c>
      <c r="V55" s="4">
        <f t="shared" si="37"/>
        <v>8.9427296429447564E-2</v>
      </c>
      <c r="W55" s="360">
        <f t="shared" si="58"/>
        <v>1.5994482693360572E-5</v>
      </c>
      <c r="X55" s="360">
        <f t="shared" si="38"/>
        <v>1.5994482693360572E-5</v>
      </c>
      <c r="Y55" s="4">
        <f t="shared" si="59"/>
        <v>0.48477153835401082</v>
      </c>
      <c r="Z55" s="360">
        <f t="shared" si="12"/>
        <v>2.3500344439811419E-4</v>
      </c>
      <c r="AA55" s="541">
        <f t="shared" si="39"/>
        <v>2.3500344439811419E-4</v>
      </c>
      <c r="AB55" s="360">
        <f t="shared" si="60"/>
        <v>2.2475603938432522</v>
      </c>
      <c r="AC55" s="360">
        <f t="shared" si="61"/>
        <v>3.0309166343837009E-2</v>
      </c>
      <c r="AD55" s="360">
        <f t="shared" si="62"/>
        <v>0.17176940175902664</v>
      </c>
      <c r="AE55" s="360">
        <f t="shared" si="63"/>
        <v>0.6042329999999998</v>
      </c>
      <c r="AF55" s="360">
        <f t="shared" si="64"/>
        <v>0</v>
      </c>
      <c r="AG55" s="360">
        <f t="shared" si="65"/>
        <v>0.81004343275753887</v>
      </c>
      <c r="AH55" s="360">
        <f t="shared" si="66"/>
        <v>0.49645696427167169</v>
      </c>
      <c r="AI55" s="360">
        <f t="shared" si="67"/>
        <v>6.1617379343460981E-4</v>
      </c>
      <c r="AJ55" s="360">
        <f t="shared" si="68"/>
        <v>9.015999999999999E-2</v>
      </c>
      <c r="AK55" s="360">
        <f t="shared" si="69"/>
        <v>9.0787361952076581E-2</v>
      </c>
      <c r="AL55" s="360">
        <f t="shared" si="70"/>
        <v>9.015999999999999E-2</v>
      </c>
      <c r="AM55" s="360">
        <f t="shared" si="71"/>
        <v>1.1591999999999998</v>
      </c>
      <c r="AN55" s="360">
        <f t="shared" si="72"/>
        <v>2.1191988965386717E-2</v>
      </c>
      <c r="AO55" s="360">
        <f t="shared" si="73"/>
        <v>7.3499999999999998E-4</v>
      </c>
      <c r="AP55" s="360">
        <f t="shared" si="74"/>
        <v>0.32999999999999996</v>
      </c>
      <c r="AQ55" s="360">
        <f t="shared" si="75"/>
        <v>1.2539999999999998</v>
      </c>
      <c r="AR55" s="360">
        <f t="shared" si="76"/>
        <v>1.0559999999999998</v>
      </c>
      <c r="AS55" s="360">
        <f t="shared" si="48"/>
        <v>0.33073499999999995</v>
      </c>
      <c r="AT55" s="360">
        <f t="shared" si="41"/>
        <v>2.8295521344090613</v>
      </c>
      <c r="AU55">
        <f t="shared" si="77"/>
        <v>46</v>
      </c>
      <c r="AV55" s="542">
        <f t="shared" si="42"/>
        <v>0.94205246596117886</v>
      </c>
      <c r="AW55" s="551">
        <f t="shared" si="78"/>
        <v>78.755771637876933</v>
      </c>
      <c r="AX55" s="551">
        <f t="shared" si="79"/>
        <v>17.986287754178907</v>
      </c>
      <c r="AY55" s="9"/>
      <c r="AZ55" s="4">
        <f t="shared" si="43"/>
        <v>94.205246596117888</v>
      </c>
      <c r="BA55" s="360">
        <f t="shared" si="80"/>
        <v>0.3271833528069677</v>
      </c>
      <c r="BB55" s="360">
        <f t="shared" si="44"/>
        <v>2.0600307947096153</v>
      </c>
      <c r="BC55" s="360">
        <f t="shared" si="45"/>
        <v>1.5751154327575387</v>
      </c>
      <c r="BD55" s="360">
        <f t="shared" si="46"/>
        <v>0.47332336195207653</v>
      </c>
      <c r="BE55" s="360">
        <f t="shared" si="47"/>
        <v>2.1191988965386717E-2</v>
      </c>
    </row>
    <row r="56" spans="1:64" ht="15.75" x14ac:dyDescent="0.3">
      <c r="A56" s="446" t="s">
        <v>471</v>
      </c>
      <c r="B56" s="5">
        <f>ThetaJA_Q4</f>
        <v>38</v>
      </c>
      <c r="C56" s="441" t="s">
        <v>205</v>
      </c>
      <c r="D56" s="76" t="s">
        <v>103</v>
      </c>
      <c r="E56" s="2"/>
      <c r="G56">
        <v>47</v>
      </c>
      <c r="H56" s="548">
        <f t="shared" si="0"/>
        <v>21</v>
      </c>
      <c r="I56" s="4">
        <f t="shared" si="49"/>
        <v>1</v>
      </c>
      <c r="J56" s="360">
        <f t="shared" si="81"/>
        <v>2.35</v>
      </c>
      <c r="K56" s="4">
        <f t="shared" si="50"/>
        <v>2.4867724867724865</v>
      </c>
      <c r="L56" s="4"/>
      <c r="M56" s="360">
        <f t="shared" si="51"/>
        <v>0.95350260164014622</v>
      </c>
      <c r="N56" s="4">
        <f t="shared" si="52"/>
        <v>0.30961818646258332</v>
      </c>
      <c r="O56" s="4">
        <f t="shared" si="35"/>
        <v>2.5048090932312919</v>
      </c>
      <c r="P56" s="4">
        <f t="shared" si="36"/>
        <v>2.1951909067687083</v>
      </c>
      <c r="Q56" s="4">
        <f t="shared" si="53"/>
        <v>0</v>
      </c>
      <c r="R56" s="4">
        <f t="shared" si="54"/>
        <v>2.3516990918161773</v>
      </c>
      <c r="S56" s="360">
        <f t="shared" si="55"/>
        <v>2.7652443092245169E-2</v>
      </c>
      <c r="T56" s="360">
        <f t="shared" si="56"/>
        <v>0.3</v>
      </c>
      <c r="U56" s="360">
        <f t="shared" si="57"/>
        <v>0.32837888135860227</v>
      </c>
      <c r="V56" s="4">
        <f t="shared" si="37"/>
        <v>8.9379071650088113E-2</v>
      </c>
      <c r="W56" s="360">
        <f t="shared" si="58"/>
        <v>1.5977236898063167E-5</v>
      </c>
      <c r="X56" s="360">
        <f t="shared" si="38"/>
        <v>1.5977236898063167E-5</v>
      </c>
      <c r="Y56" s="4">
        <f t="shared" si="59"/>
        <v>0.49517307224819951</v>
      </c>
      <c r="Z56" s="360">
        <f t="shared" si="12"/>
        <v>2.4519637147972062E-4</v>
      </c>
      <c r="AA56" s="541">
        <f t="shared" si="39"/>
        <v>2.4519637147972062E-4</v>
      </c>
      <c r="AB56" s="360">
        <f t="shared" si="60"/>
        <v>2.296374378456695</v>
      </c>
      <c r="AC56" s="360">
        <f t="shared" si="61"/>
        <v>3.1640011716194232E-2</v>
      </c>
      <c r="AD56" s="360">
        <f t="shared" si="62"/>
        <v>0.17550351918857068</v>
      </c>
      <c r="AE56" s="360">
        <f t="shared" si="63"/>
        <v>0.6042329999999998</v>
      </c>
      <c r="AF56" s="360">
        <f t="shared" si="64"/>
        <v>0</v>
      </c>
      <c r="AG56" s="360">
        <f t="shared" si="65"/>
        <v>0.81529752644467646</v>
      </c>
      <c r="AH56" s="360">
        <f t="shared" si="66"/>
        <v>0.50710288149118432</v>
      </c>
      <c r="AI56" s="360">
        <f t="shared" si="67"/>
        <v>6.4288333104165526E-4</v>
      </c>
      <c r="AJ56" s="360">
        <f t="shared" si="68"/>
        <v>9.2120000000000007E-2</v>
      </c>
      <c r="AK56" s="360">
        <f t="shared" si="69"/>
        <v>9.2774812007077628E-2</v>
      </c>
      <c r="AL56" s="360">
        <f t="shared" si="70"/>
        <v>9.2120000000000007E-2</v>
      </c>
      <c r="AM56" s="360">
        <f t="shared" si="71"/>
        <v>1.1843999999999999</v>
      </c>
      <c r="AN56" s="360">
        <f t="shared" si="72"/>
        <v>2.2121954473796134E-2</v>
      </c>
      <c r="AO56" s="360">
        <f t="shared" si="73"/>
        <v>7.3499999999999998E-4</v>
      </c>
      <c r="AP56" s="360">
        <f t="shared" si="74"/>
        <v>0.32999999999999996</v>
      </c>
      <c r="AQ56" s="360">
        <f t="shared" si="75"/>
        <v>1.2539999999999998</v>
      </c>
      <c r="AR56" s="360">
        <f t="shared" si="76"/>
        <v>1.0559999999999998</v>
      </c>
      <c r="AS56" s="360">
        <f t="shared" si="48"/>
        <v>0.33073499999999995</v>
      </c>
      <c r="AT56" s="360">
        <f t="shared" si="41"/>
        <v>2.8660893478925304</v>
      </c>
      <c r="AU56">
        <f t="shared" si="77"/>
        <v>47</v>
      </c>
      <c r="AV56" s="542">
        <f t="shared" si="42"/>
        <v>0.94252428082143835</v>
      </c>
      <c r="AW56" s="551">
        <f t="shared" si="78"/>
        <v>79.850076322233818</v>
      </c>
      <c r="AX56" s="551">
        <f t="shared" si="79"/>
        <v>18.377818856268949</v>
      </c>
      <c r="AY56" s="9"/>
      <c r="AZ56" s="4">
        <f t="shared" si="43"/>
        <v>94.252428082143837</v>
      </c>
      <c r="BA56" s="360">
        <f t="shared" si="80"/>
        <v>0.32837888135860227</v>
      </c>
      <c r="BB56" s="360">
        <f t="shared" si="44"/>
        <v>2.0924723384517541</v>
      </c>
      <c r="BC56" s="360">
        <f t="shared" si="45"/>
        <v>1.5970015264446764</v>
      </c>
      <c r="BD56" s="360">
        <f t="shared" si="46"/>
        <v>0.48362681200707758</v>
      </c>
      <c r="BE56" s="360">
        <f t="shared" si="47"/>
        <v>2.2121954473796134E-2</v>
      </c>
      <c r="BK56" s="18"/>
      <c r="BL56" s="19"/>
    </row>
    <row r="57" spans="1:64" x14ac:dyDescent="0.2">
      <c r="A57" s="24" t="s">
        <v>224</v>
      </c>
      <c r="B57" s="15" t="s">
        <v>111</v>
      </c>
      <c r="C57" s="24" t="s">
        <v>76</v>
      </c>
      <c r="D57" s="24" t="s">
        <v>213</v>
      </c>
      <c r="G57">
        <v>48</v>
      </c>
      <c r="H57" s="548">
        <f t="shared" si="0"/>
        <v>21</v>
      </c>
      <c r="I57" s="4">
        <f t="shared" si="49"/>
        <v>1</v>
      </c>
      <c r="J57" s="360">
        <f t="shared" si="81"/>
        <v>2.4</v>
      </c>
      <c r="K57" s="4">
        <f t="shared" si="50"/>
        <v>2.5396825396825395</v>
      </c>
      <c r="L57" s="4"/>
      <c r="M57" s="360">
        <f t="shared" si="51"/>
        <v>0.95352646515437223</v>
      </c>
      <c r="N57" s="4">
        <f t="shared" si="52"/>
        <v>0.30945112215809928</v>
      </c>
      <c r="O57" s="4">
        <f t="shared" si="35"/>
        <v>2.5547255610790494</v>
      </c>
      <c r="P57" s="4">
        <f t="shared" si="36"/>
        <v>2.2452744389209505</v>
      </c>
      <c r="Q57" s="4">
        <f t="shared" si="53"/>
        <v>0</v>
      </c>
      <c r="R57" s="4">
        <f t="shared" si="54"/>
        <v>2.4016619245327617</v>
      </c>
      <c r="S57" s="360">
        <f t="shared" si="55"/>
        <v>2.8839899998752045E-2</v>
      </c>
      <c r="T57" s="360">
        <f t="shared" si="56"/>
        <v>0.3</v>
      </c>
      <c r="U57" s="360">
        <f t="shared" si="57"/>
        <v>0.32960035129241816</v>
      </c>
      <c r="V57" s="4">
        <f t="shared" si="37"/>
        <v>8.9330844339505194E-2</v>
      </c>
      <c r="W57" s="360">
        <f t="shared" si="58"/>
        <v>1.5959999500817812E-5</v>
      </c>
      <c r="X57" s="360">
        <f t="shared" si="38"/>
        <v>1.5959999500817812E-5</v>
      </c>
      <c r="Y57" s="4">
        <f t="shared" si="59"/>
        <v>0.5055697748161464</v>
      </c>
      <c r="Z57" s="360">
        <f t="shared" si="12"/>
        <v>2.5560079720764899E-4</v>
      </c>
      <c r="AA57" s="541">
        <f t="shared" si="39"/>
        <v>2.5560079720764899E-4</v>
      </c>
      <c r="AB57" s="360">
        <f t="shared" si="60"/>
        <v>2.3451911607037759</v>
      </c>
      <c r="AC57" s="360">
        <f t="shared" si="61"/>
        <v>3.2999529481458741E-2</v>
      </c>
      <c r="AD57" s="360">
        <f t="shared" si="62"/>
        <v>0.17923763661811476</v>
      </c>
      <c r="AE57" s="360">
        <f t="shared" si="63"/>
        <v>0.6042329999999998</v>
      </c>
      <c r="AF57" s="360">
        <f t="shared" si="64"/>
        <v>0</v>
      </c>
      <c r="AG57" s="360">
        <f t="shared" si="65"/>
        <v>0.82058616762904768</v>
      </c>
      <c r="AH57" s="360">
        <f t="shared" si="66"/>
        <v>0.51774358470896065</v>
      </c>
      <c r="AI57" s="360">
        <f t="shared" si="67"/>
        <v>6.7014604876821174E-4</v>
      </c>
      <c r="AJ57" s="360">
        <f t="shared" si="68"/>
        <v>9.4079999999999997E-2</v>
      </c>
      <c r="AK57" s="360">
        <f t="shared" si="69"/>
        <v>9.4762847038270759E-2</v>
      </c>
      <c r="AL57" s="360">
        <f t="shared" si="70"/>
        <v>9.4079999999999997E-2</v>
      </c>
      <c r="AM57" s="360">
        <f t="shared" si="71"/>
        <v>1.2096</v>
      </c>
      <c r="AN57" s="360">
        <f t="shared" si="72"/>
        <v>2.3071919999001638E-2</v>
      </c>
      <c r="AO57" s="360">
        <f t="shared" si="73"/>
        <v>7.3499999999999998E-4</v>
      </c>
      <c r="AP57" s="360">
        <f t="shared" si="74"/>
        <v>0.32999999999999996</v>
      </c>
      <c r="AQ57" s="360">
        <f t="shared" si="75"/>
        <v>1.2539999999999998</v>
      </c>
      <c r="AR57" s="360">
        <f t="shared" si="76"/>
        <v>1.0559999999999998</v>
      </c>
      <c r="AS57" s="360">
        <f t="shared" si="48"/>
        <v>0.33073499999999995</v>
      </c>
      <c r="AT57" s="360">
        <f t="shared" si="41"/>
        <v>2.9027078467554466</v>
      </c>
      <c r="AU57">
        <f t="shared" si="77"/>
        <v>48</v>
      </c>
      <c r="AV57" s="542">
        <f t="shared" si="42"/>
        <v>0.94297537460101022</v>
      </c>
      <c r="AW57" s="551">
        <f t="shared" si="78"/>
        <v>80.94610838145239</v>
      </c>
      <c r="AX57" s="551">
        <f t="shared" si="79"/>
        <v>18.769372187454291</v>
      </c>
      <c r="AY57" s="9"/>
      <c r="AZ57" s="4">
        <f t="shared" si="43"/>
        <v>94.297537460101026</v>
      </c>
      <c r="BA57" s="360">
        <f t="shared" si="80"/>
        <v>0.32960035129241816</v>
      </c>
      <c r="BB57" s="360">
        <f t="shared" si="44"/>
        <v>2.1249490146673184</v>
      </c>
      <c r="BC57" s="360">
        <f t="shared" si="45"/>
        <v>1.6189221676290477</v>
      </c>
      <c r="BD57" s="360">
        <f t="shared" si="46"/>
        <v>0.49393084703827078</v>
      </c>
      <c r="BE57" s="360">
        <f t="shared" si="47"/>
        <v>2.3071919999001638E-2</v>
      </c>
      <c r="BK57" s="18"/>
      <c r="BL57" s="19"/>
    </row>
    <row r="58" spans="1:64" x14ac:dyDescent="0.2">
      <c r="A58" s="23" t="s">
        <v>195</v>
      </c>
      <c r="B58" s="73">
        <f>VfdSky_Q4</f>
        <v>0</v>
      </c>
      <c r="C58" s="440" t="s">
        <v>0</v>
      </c>
      <c r="D58" s="76" t="s">
        <v>198</v>
      </c>
      <c r="G58">
        <v>49</v>
      </c>
      <c r="H58" s="548">
        <f t="shared" si="0"/>
        <v>21</v>
      </c>
      <c r="I58" s="4">
        <f t="shared" si="49"/>
        <v>1</v>
      </c>
      <c r="J58" s="360">
        <f t="shared" si="81"/>
        <v>2.4500000000000002</v>
      </c>
      <c r="K58" s="4">
        <f t="shared" si="50"/>
        <v>2.5925925925925921</v>
      </c>
      <c r="L58" s="4"/>
      <c r="M58" s="360">
        <f t="shared" si="51"/>
        <v>0.95355032861178335</v>
      </c>
      <c r="N58" s="4">
        <f t="shared" si="52"/>
        <v>0.30928404908523216</v>
      </c>
      <c r="O58" s="4">
        <f t="shared" si="35"/>
        <v>2.6046420245426161</v>
      </c>
      <c r="P58" s="4">
        <f t="shared" si="36"/>
        <v>2.2953579754573843</v>
      </c>
      <c r="Q58" s="4">
        <f t="shared" si="53"/>
        <v>0</v>
      </c>
      <c r="R58" s="4">
        <f t="shared" si="54"/>
        <v>2.4516262735685364</v>
      </c>
      <c r="S58" s="360">
        <f t="shared" si="55"/>
        <v>3.0052356926257739E-2</v>
      </c>
      <c r="T58" s="360">
        <f t="shared" si="56"/>
        <v>0.3</v>
      </c>
      <c r="U58" s="360">
        <f t="shared" si="57"/>
        <v>0.33084777736575011</v>
      </c>
      <c r="V58" s="4">
        <f t="shared" si="37"/>
        <v>8.9282614497708107E-2</v>
      </c>
      <c r="W58" s="360">
        <f t="shared" si="58"/>
        <v>1.5942770503092716E-5</v>
      </c>
      <c r="X58" s="360">
        <f t="shared" si="38"/>
        <v>1.5942770503092716E-5</v>
      </c>
      <c r="Y58" s="4">
        <f t="shared" si="59"/>
        <v>0.51596162273317026</v>
      </c>
      <c r="Z58" s="360">
        <f t="shared" si="12"/>
        <v>2.6621639613344636E-4</v>
      </c>
      <c r="AA58" s="541">
        <f t="shared" si="39"/>
        <v>2.6621639613344636E-4</v>
      </c>
      <c r="AB58" s="360">
        <f t="shared" si="60"/>
        <v>2.3940106441948696</v>
      </c>
      <c r="AC58" s="360">
        <f t="shared" si="61"/>
        <v>3.4387721787110005E-2</v>
      </c>
      <c r="AD58" s="360">
        <f t="shared" si="62"/>
        <v>0.18297175404765881</v>
      </c>
      <c r="AE58" s="360">
        <f t="shared" si="63"/>
        <v>0.6042329999999998</v>
      </c>
      <c r="AF58" s="360">
        <f t="shared" si="64"/>
        <v>0</v>
      </c>
      <c r="AG58" s="360">
        <f t="shared" si="65"/>
        <v>0.82590944978058944</v>
      </c>
      <c r="AH58" s="360">
        <f t="shared" si="66"/>
        <v>0.52837905024065224</v>
      </c>
      <c r="AI58" s="360">
        <f t="shared" si="67"/>
        <v>6.9796105183303426E-4</v>
      </c>
      <c r="AJ58" s="360">
        <f t="shared" si="68"/>
        <v>9.604E-2</v>
      </c>
      <c r="AK58" s="360">
        <f t="shared" si="69"/>
        <v>9.6751466802940278E-2</v>
      </c>
      <c r="AL58" s="360">
        <f t="shared" si="70"/>
        <v>9.604E-2</v>
      </c>
      <c r="AM58" s="360">
        <f t="shared" si="71"/>
        <v>1.2348000000000001</v>
      </c>
      <c r="AN58" s="360">
        <f t="shared" si="72"/>
        <v>2.4041885541006194E-2</v>
      </c>
      <c r="AO58" s="360">
        <f t="shared" si="73"/>
        <v>7.3499999999999998E-4</v>
      </c>
      <c r="AP58" s="360">
        <f t="shared" si="74"/>
        <v>0.32999999999999996</v>
      </c>
      <c r="AQ58" s="360">
        <f t="shared" si="75"/>
        <v>1.2539999999999998</v>
      </c>
      <c r="AR58" s="360">
        <f t="shared" si="76"/>
        <v>1.0559999999999998</v>
      </c>
      <c r="AS58" s="360">
        <f t="shared" si="48"/>
        <v>0.33073499999999995</v>
      </c>
      <c r="AT58" s="360">
        <f t="shared" si="41"/>
        <v>2.9394077386569224</v>
      </c>
      <c r="AU58">
        <f t="shared" si="77"/>
        <v>49</v>
      </c>
      <c r="AV58" s="542">
        <f t="shared" si="42"/>
        <v>0.94340698389463507</v>
      </c>
      <c r="AW58" s="551">
        <f t="shared" si="78"/>
        <v>82.043872489029482</v>
      </c>
      <c r="AX58" s="551">
        <f t="shared" si="79"/>
        <v>19.16094773851173</v>
      </c>
      <c r="AY58" s="9"/>
      <c r="AZ58" s="4">
        <f t="shared" si="43"/>
        <v>94.340698389463512</v>
      </c>
      <c r="BA58" s="360">
        <f t="shared" si="80"/>
        <v>0.33084777736575011</v>
      </c>
      <c r="BB58" s="360">
        <f t="shared" si="44"/>
        <v>2.1574609165835299</v>
      </c>
      <c r="BC58" s="360">
        <f t="shared" si="45"/>
        <v>1.6408774497805896</v>
      </c>
      <c r="BD58" s="360">
        <f t="shared" si="46"/>
        <v>0.50423546680294029</v>
      </c>
      <c r="BE58" s="360">
        <f t="shared" si="47"/>
        <v>2.4041885541006194E-2</v>
      </c>
      <c r="BK58" s="18"/>
      <c r="BL58" s="19"/>
    </row>
    <row r="59" spans="1:64" x14ac:dyDescent="0.2">
      <c r="A59" s="23" t="s">
        <v>196</v>
      </c>
      <c r="B59" s="73">
        <f>QrrSky_Q4*1000000000</f>
        <v>0</v>
      </c>
      <c r="C59" s="440" t="s">
        <v>65</v>
      </c>
      <c r="D59" s="76" t="s">
        <v>199</v>
      </c>
      <c r="G59">
        <v>50</v>
      </c>
      <c r="H59" s="548">
        <f t="shared" si="0"/>
        <v>21</v>
      </c>
      <c r="I59" s="4">
        <f t="shared" si="49"/>
        <v>1</v>
      </c>
      <c r="J59" s="360">
        <f t="shared" si="81"/>
        <v>2.5</v>
      </c>
      <c r="K59" s="4">
        <f t="shared" si="50"/>
        <v>2.6455026455026451</v>
      </c>
      <c r="L59" s="4"/>
      <c r="M59" s="360">
        <f t="shared" si="51"/>
        <v>0.95357419201238036</v>
      </c>
      <c r="N59" s="4">
        <f t="shared" si="52"/>
        <v>0.30911696724401333</v>
      </c>
      <c r="O59" s="4">
        <f t="shared" si="35"/>
        <v>2.6545584836220066</v>
      </c>
      <c r="P59" s="4">
        <f t="shared" si="36"/>
        <v>2.3454415163779934</v>
      </c>
      <c r="Q59" s="4">
        <f t="shared" si="53"/>
        <v>0</v>
      </c>
      <c r="R59" s="4">
        <f t="shared" si="54"/>
        <v>2.5015920480672258</v>
      </c>
      <c r="S59" s="360">
        <f t="shared" si="55"/>
        <v>3.1289813874765884E-2</v>
      </c>
      <c r="T59" s="360">
        <f t="shared" si="56"/>
        <v>0.3</v>
      </c>
      <c r="U59" s="360">
        <f t="shared" si="57"/>
        <v>0.33212117465386892</v>
      </c>
      <c r="V59" s="4">
        <f t="shared" si="37"/>
        <v>8.9234382124705913E-2</v>
      </c>
      <c r="W59" s="360">
        <f t="shared" si="58"/>
        <v>1.5925549906356068E-5</v>
      </c>
      <c r="X59" s="360">
        <f t="shared" si="38"/>
        <v>1.5925549906356068E-5</v>
      </c>
      <c r="Y59" s="4">
        <f t="shared" si="59"/>
        <v>0.52634859435172643</v>
      </c>
      <c r="Z59" s="360">
        <f t="shared" si="12"/>
        <v>2.7704284277603827E-4</v>
      </c>
      <c r="AA59" s="541">
        <f t="shared" si="39"/>
        <v>2.7704284277603827E-4</v>
      </c>
      <c r="AB59" s="360">
        <f t="shared" si="60"/>
        <v>2.4428327402361236</v>
      </c>
      <c r="AC59" s="360">
        <f t="shared" si="61"/>
        <v>3.5804590780617172E-2</v>
      </c>
      <c r="AD59" s="360">
        <f t="shared" si="62"/>
        <v>0.18670587147720286</v>
      </c>
      <c r="AE59" s="360">
        <f t="shared" si="63"/>
        <v>0.6042329999999998</v>
      </c>
      <c r="AF59" s="360">
        <f t="shared" si="64"/>
        <v>0</v>
      </c>
      <c r="AG59" s="360">
        <f t="shared" si="65"/>
        <v>0.8312674673655559</v>
      </c>
      <c r="AH59" s="360">
        <f t="shared" si="66"/>
        <v>0.53900925612056749</v>
      </c>
      <c r="AI59" s="360">
        <f t="shared" si="67"/>
        <v>7.2632744545911884E-4</v>
      </c>
      <c r="AJ59" s="360">
        <f t="shared" si="68"/>
        <v>9.8000000000000004E-2</v>
      </c>
      <c r="AK59" s="360">
        <f t="shared" si="69"/>
        <v>9.8740671057333515E-2</v>
      </c>
      <c r="AL59" s="360">
        <f t="shared" si="70"/>
        <v>9.8000000000000004E-2</v>
      </c>
      <c r="AM59" s="360">
        <f t="shared" si="71"/>
        <v>1.26</v>
      </c>
      <c r="AN59" s="360">
        <f t="shared" si="72"/>
        <v>2.5031851099812711E-2</v>
      </c>
      <c r="AO59" s="360">
        <f t="shared" si="73"/>
        <v>7.3499999999999998E-4</v>
      </c>
      <c r="AP59" s="360">
        <f t="shared" si="74"/>
        <v>0.32999999999999996</v>
      </c>
      <c r="AQ59" s="360">
        <f t="shared" si="75"/>
        <v>1.2539999999999998</v>
      </c>
      <c r="AR59" s="360">
        <f t="shared" si="76"/>
        <v>1.0559999999999998</v>
      </c>
      <c r="AS59" s="360">
        <f t="shared" si="48"/>
        <v>0.33073499999999995</v>
      </c>
      <c r="AT59" s="360">
        <f t="shared" si="41"/>
        <v>2.9761891325692535</v>
      </c>
      <c r="AU59">
        <f t="shared" si="77"/>
        <v>50</v>
      </c>
      <c r="AV59" s="542">
        <f t="shared" si="42"/>
        <v>0.94382024865696657</v>
      </c>
      <c r="AW59" s="551">
        <f t="shared" si="78"/>
        <v>83.143373368277793</v>
      </c>
      <c r="AX59" s="551">
        <f t="shared" si="79"/>
        <v>19.552545500178674</v>
      </c>
      <c r="AY59" s="9"/>
      <c r="AZ59" s="4">
        <f t="shared" si="43"/>
        <v>94.38202486569665</v>
      </c>
      <c r="BA59" s="360">
        <f t="shared" si="80"/>
        <v>0.33212117465386892</v>
      </c>
      <c r="BB59" s="360">
        <f t="shared" si="44"/>
        <v>2.1900081384228893</v>
      </c>
      <c r="BC59" s="360">
        <f t="shared" si="45"/>
        <v>1.6628674673655559</v>
      </c>
      <c r="BD59" s="360">
        <f t="shared" si="46"/>
        <v>0.51454067105733348</v>
      </c>
      <c r="BE59" s="360">
        <f t="shared" si="47"/>
        <v>2.5031851099812711E-2</v>
      </c>
      <c r="BK59" s="18"/>
      <c r="BL59" s="19"/>
    </row>
    <row r="60" spans="1:64" x14ac:dyDescent="0.2">
      <c r="A60" s="23" t="s">
        <v>197</v>
      </c>
      <c r="B60" s="73">
        <f>Ireverse</f>
        <v>0</v>
      </c>
      <c r="C60" s="440" t="s">
        <v>64</v>
      </c>
      <c r="D60" s="76" t="s">
        <v>200</v>
      </c>
      <c r="E60" s="2"/>
      <c r="G60">
        <v>51</v>
      </c>
      <c r="H60" s="548">
        <f t="shared" si="0"/>
        <v>21</v>
      </c>
      <c r="I60" s="4">
        <f t="shared" si="49"/>
        <v>1</v>
      </c>
      <c r="J60" s="360">
        <f t="shared" si="81"/>
        <v>2.5499999999999998</v>
      </c>
      <c r="K60" s="4">
        <f t="shared" si="50"/>
        <v>2.6984126984126982</v>
      </c>
      <c r="L60" s="4"/>
      <c r="M60" s="360">
        <f t="shared" si="51"/>
        <v>0.95359805535616293</v>
      </c>
      <c r="N60" s="4">
        <f t="shared" si="52"/>
        <v>0.3089498766344741</v>
      </c>
      <c r="O60" s="4">
        <f t="shared" si="35"/>
        <v>2.7044749383172371</v>
      </c>
      <c r="P60" s="4">
        <f t="shared" si="36"/>
        <v>2.3955250616827626</v>
      </c>
      <c r="Q60" s="4">
        <f t="shared" si="53"/>
        <v>0</v>
      </c>
      <c r="R60" s="4">
        <f t="shared" si="54"/>
        <v>2.5515591642868167</v>
      </c>
      <c r="S60" s="360">
        <f t="shared" si="55"/>
        <v>3.2552270844280196E-2</v>
      </c>
      <c r="T60" s="360">
        <f t="shared" si="56"/>
        <v>0.3</v>
      </c>
      <c r="U60" s="360">
        <f t="shared" si="57"/>
        <v>0.33342055855043901</v>
      </c>
      <c r="V60" s="4">
        <f t="shared" si="37"/>
        <v>8.9186147220507647E-2</v>
      </c>
      <c r="W60" s="360">
        <f t="shared" si="58"/>
        <v>1.5908337712076129E-5</v>
      </c>
      <c r="X60" s="360">
        <f t="shared" si="38"/>
        <v>1.5908337712076129E-5</v>
      </c>
      <c r="Y60" s="4">
        <f t="shared" si="59"/>
        <v>0.53673066953709936</v>
      </c>
      <c r="Z60" s="360">
        <f t="shared" si="12"/>
        <v>2.8807981162174296E-4</v>
      </c>
      <c r="AA60" s="541">
        <f t="shared" si="39"/>
        <v>2.8807981162174296E-4</v>
      </c>
      <c r="AB60" s="360">
        <f t="shared" si="60"/>
        <v>2.4916573670764892</v>
      </c>
      <c r="AC60" s="360">
        <f t="shared" si="61"/>
        <v>3.7250138609439251E-2</v>
      </c>
      <c r="AD60" s="360">
        <f t="shared" si="62"/>
        <v>0.19043998890674693</v>
      </c>
      <c r="AE60" s="360">
        <f t="shared" si="63"/>
        <v>0.6042329999999998</v>
      </c>
      <c r="AF60" s="360">
        <f t="shared" si="64"/>
        <v>0</v>
      </c>
      <c r="AG60" s="360">
        <f t="shared" si="65"/>
        <v>0.83666031585182976</v>
      </c>
      <c r="AH60" s="360">
        <f t="shared" si="66"/>
        <v>0.54963418193330749</v>
      </c>
      <c r="AI60" s="360">
        <f t="shared" si="67"/>
        <v>7.5524433487374036E-4</v>
      </c>
      <c r="AJ60" s="360">
        <f t="shared" si="68"/>
        <v>9.9959999999999993E-2</v>
      </c>
      <c r="AK60" s="360">
        <f t="shared" si="69"/>
        <v>0.10073045955665962</v>
      </c>
      <c r="AL60" s="360">
        <f t="shared" si="70"/>
        <v>9.9959999999999993E-2</v>
      </c>
      <c r="AM60" s="360">
        <f t="shared" si="71"/>
        <v>1.2851999999999999</v>
      </c>
      <c r="AN60" s="360">
        <f t="shared" si="72"/>
        <v>2.6041816675424156E-2</v>
      </c>
      <c r="AO60" s="360">
        <f t="shared" si="73"/>
        <v>7.3499999999999998E-4</v>
      </c>
      <c r="AP60" s="360">
        <f t="shared" si="74"/>
        <v>0.32999999999999996</v>
      </c>
      <c r="AQ60" s="360">
        <f t="shared" si="75"/>
        <v>1.2539999999999998</v>
      </c>
      <c r="AR60" s="360">
        <f t="shared" si="76"/>
        <v>1.0559999999999998</v>
      </c>
      <c r="AS60" s="360">
        <f t="shared" si="48"/>
        <v>0.33073499999999995</v>
      </c>
      <c r="AT60" s="360">
        <f t="shared" si="41"/>
        <v>3.0130521387836859</v>
      </c>
      <c r="AU60">
        <f t="shared" si="77"/>
        <v>51</v>
      </c>
      <c r="AV60" s="542">
        <f t="shared" si="42"/>
        <v>0.94421622145992035</v>
      </c>
      <c r="AW60" s="551">
        <f t="shared" si="78"/>
        <v>84.244615792591475</v>
      </c>
      <c r="AX60" s="551">
        <f t="shared" si="79"/>
        <v>19.944165463153066</v>
      </c>
      <c r="AY60" s="9"/>
      <c r="AZ60" s="4">
        <f t="shared" si="43"/>
        <v>94.421622145992032</v>
      </c>
      <c r="BA60" s="360">
        <f t="shared" si="80"/>
        <v>0.33342055855043901</v>
      </c>
      <c r="BB60" s="360">
        <f t="shared" si="44"/>
        <v>2.2225907754084893</v>
      </c>
      <c r="BC60" s="360">
        <f t="shared" si="45"/>
        <v>1.6848923158518296</v>
      </c>
      <c r="BD60" s="360">
        <f t="shared" si="46"/>
        <v>0.52484645955665965</v>
      </c>
      <c r="BE60" s="360">
        <f t="shared" si="47"/>
        <v>2.6041816675424156E-2</v>
      </c>
      <c r="BK60" s="18"/>
      <c r="BL60" s="19"/>
    </row>
    <row r="61" spans="1:64" x14ac:dyDescent="0.2">
      <c r="A61" s="24" t="s">
        <v>117</v>
      </c>
      <c r="B61" s="15" t="s">
        <v>111</v>
      </c>
      <c r="C61" s="24" t="s">
        <v>76</v>
      </c>
      <c r="D61" s="24" t="s">
        <v>213</v>
      </c>
      <c r="G61">
        <v>52</v>
      </c>
      <c r="H61" s="548">
        <f t="shared" si="0"/>
        <v>21</v>
      </c>
      <c r="I61" s="4">
        <f t="shared" si="49"/>
        <v>1</v>
      </c>
      <c r="J61" s="360">
        <f t="shared" si="81"/>
        <v>2.6</v>
      </c>
      <c r="K61" s="4">
        <f t="shared" si="50"/>
        <v>2.7513227513227512</v>
      </c>
      <c r="L61" s="4"/>
      <c r="M61" s="360">
        <f t="shared" si="51"/>
        <v>0.95362191864313162</v>
      </c>
      <c r="N61" s="4">
        <f t="shared" si="52"/>
        <v>0.30878277725664577</v>
      </c>
      <c r="O61" s="4">
        <f t="shared" si="35"/>
        <v>2.7543913886283229</v>
      </c>
      <c r="P61" s="4">
        <f t="shared" si="36"/>
        <v>2.4456086113716773</v>
      </c>
      <c r="Q61" s="4">
        <f t="shared" si="53"/>
        <v>0</v>
      </c>
      <c r="R61" s="4">
        <f t="shared" si="54"/>
        <v>2.6015275449168054</v>
      </c>
      <c r="S61" s="360">
        <f t="shared" si="55"/>
        <v>3.3839727834804302E-2</v>
      </c>
      <c r="T61" s="360">
        <f t="shared" si="56"/>
        <v>0.3</v>
      </c>
      <c r="U61" s="360">
        <f t="shared" si="57"/>
        <v>0.33474594476798458</v>
      </c>
      <c r="V61" s="4">
        <f t="shared" si="37"/>
        <v>8.9137909785122343E-2</v>
      </c>
      <c r="W61" s="360">
        <f t="shared" si="58"/>
        <v>1.5891133921721217E-5</v>
      </c>
      <c r="X61" s="360">
        <f t="shared" si="38"/>
        <v>1.5891133921721217E-5</v>
      </c>
      <c r="Y61" s="4">
        <f t="shared" si="59"/>
        <v>0.54710782952198722</v>
      </c>
      <c r="Z61" s="360">
        <f t="shared" si="12"/>
        <v>2.993269771242598E-4</v>
      </c>
      <c r="AA61" s="541">
        <f t="shared" si="39"/>
        <v>2.993269771242598E-4</v>
      </c>
      <c r="AB61" s="360">
        <f t="shared" si="60"/>
        <v>2.5404844492414225</v>
      </c>
      <c r="AC61" s="360">
        <f t="shared" si="61"/>
        <v>3.8724367421024967E-2</v>
      </c>
      <c r="AD61" s="360">
        <f t="shared" si="62"/>
        <v>0.19417410633629098</v>
      </c>
      <c r="AE61" s="360">
        <f t="shared" si="63"/>
        <v>0.6042329999999998</v>
      </c>
      <c r="AF61" s="360">
        <f t="shared" si="64"/>
        <v>0</v>
      </c>
      <c r="AG61" s="360">
        <f t="shared" si="65"/>
        <v>0.84208809171430665</v>
      </c>
      <c r="AH61" s="360">
        <f t="shared" si="66"/>
        <v>0.56025380866475827</v>
      </c>
      <c r="AI61" s="360">
        <f t="shared" si="67"/>
        <v>7.8471082530841892E-4</v>
      </c>
      <c r="AJ61" s="360">
        <f t="shared" si="68"/>
        <v>0.10192</v>
      </c>
      <c r="AK61" s="360">
        <f t="shared" si="69"/>
        <v>0.10272083205508807</v>
      </c>
      <c r="AL61" s="360">
        <f t="shared" si="70"/>
        <v>0.10192</v>
      </c>
      <c r="AM61" s="360">
        <f t="shared" si="71"/>
        <v>1.3104</v>
      </c>
      <c r="AN61" s="360">
        <f t="shared" si="72"/>
        <v>2.7071782267843444E-2</v>
      </c>
      <c r="AO61" s="360">
        <f t="shared" si="73"/>
        <v>7.3499999999999998E-4</v>
      </c>
      <c r="AP61" s="360">
        <f t="shared" si="74"/>
        <v>0.32999999999999996</v>
      </c>
      <c r="AQ61" s="360">
        <f t="shared" si="75"/>
        <v>1.2539999999999998</v>
      </c>
      <c r="AR61" s="360">
        <f t="shared" si="76"/>
        <v>1.0559999999999998</v>
      </c>
      <c r="AS61" s="360">
        <f t="shared" si="48"/>
        <v>0.33073499999999995</v>
      </c>
      <c r="AT61" s="360">
        <f t="shared" si="41"/>
        <v>3.0499968689162684</v>
      </c>
      <c r="AU61">
        <f t="shared" si="77"/>
        <v>52</v>
      </c>
      <c r="AV61" s="542">
        <f t="shared" si="42"/>
        <v>0.94459587570588155</v>
      </c>
      <c r="AW61" s="551">
        <f t="shared" si="78"/>
        <v>85.347604585715331</v>
      </c>
      <c r="AX61" s="551">
        <f t="shared" si="79"/>
        <v>20.335807618093348</v>
      </c>
      <c r="AY61" s="9"/>
      <c r="AZ61" s="4">
        <f t="shared" si="43"/>
        <v>94.459587570588155</v>
      </c>
      <c r="BA61" s="360">
        <f t="shared" si="80"/>
        <v>0.33474594476798458</v>
      </c>
      <c r="BB61" s="360">
        <f t="shared" si="44"/>
        <v>2.2552089237693949</v>
      </c>
      <c r="BC61" s="360">
        <f t="shared" si="45"/>
        <v>1.7069520917143066</v>
      </c>
      <c r="BD61" s="360">
        <f t="shared" si="46"/>
        <v>0.53515283205508812</v>
      </c>
      <c r="BE61" s="360">
        <f t="shared" si="47"/>
        <v>2.7071782267843444E-2</v>
      </c>
      <c r="BK61" s="18"/>
      <c r="BL61" s="19"/>
    </row>
    <row r="62" spans="1:64" ht="15.75" x14ac:dyDescent="0.3">
      <c r="A62" s="446" t="s">
        <v>470</v>
      </c>
      <c r="B62" s="74">
        <v>30</v>
      </c>
      <c r="C62" s="441" t="s">
        <v>205</v>
      </c>
      <c r="D62" s="76" t="s">
        <v>103</v>
      </c>
      <c r="G62">
        <v>53</v>
      </c>
      <c r="H62" s="548">
        <f t="shared" si="0"/>
        <v>21</v>
      </c>
      <c r="I62" s="4">
        <f t="shared" si="49"/>
        <v>1</v>
      </c>
      <c r="J62" s="360">
        <f t="shared" si="81"/>
        <v>2.65</v>
      </c>
      <c r="K62" s="4">
        <f t="shared" si="50"/>
        <v>2.8042328042328037</v>
      </c>
      <c r="L62" s="4"/>
      <c r="M62" s="360">
        <f t="shared" si="51"/>
        <v>0.95364578187328652</v>
      </c>
      <c r="N62" s="4">
        <f t="shared" si="52"/>
        <v>0.30861566911055965</v>
      </c>
      <c r="O62" s="4">
        <f t="shared" si="35"/>
        <v>2.8043078345552797</v>
      </c>
      <c r="P62" s="4">
        <f t="shared" si="36"/>
        <v>2.4956921654447202</v>
      </c>
      <c r="Q62" s="4">
        <f t="shared" si="53"/>
        <v>0</v>
      </c>
      <c r="R62" s="4">
        <f t="shared" si="54"/>
        <v>2.6514971184725771</v>
      </c>
      <c r="S62" s="360">
        <f t="shared" si="55"/>
        <v>3.5152184846341895E-2</v>
      </c>
      <c r="T62" s="360">
        <f t="shared" si="56"/>
        <v>0.3</v>
      </c>
      <c r="U62" s="360">
        <f t="shared" si="57"/>
        <v>0.33609734933836655</v>
      </c>
      <c r="V62" s="4">
        <f t="shared" si="37"/>
        <v>8.908966981855905E-2</v>
      </c>
      <c r="W62" s="360">
        <f t="shared" si="58"/>
        <v>1.5873938536759742E-5</v>
      </c>
      <c r="X62" s="360">
        <f t="shared" si="38"/>
        <v>1.5873938536759742E-5</v>
      </c>
      <c r="Y62" s="4">
        <f t="shared" si="59"/>
        <v>0.55748005677752943</v>
      </c>
      <c r="Z62" s="360">
        <f t="shared" si="12"/>
        <v>3.1078401370467746E-4</v>
      </c>
      <c r="AA62" s="541">
        <f t="shared" si="39"/>
        <v>3.1078401370467746E-4</v>
      </c>
      <c r="AB62" s="360">
        <f t="shared" si="60"/>
        <v>2.5893139169418609</v>
      </c>
      <c r="AC62" s="360">
        <f t="shared" si="61"/>
        <v>4.0227279362812812E-2</v>
      </c>
      <c r="AD62" s="360">
        <f t="shared" si="62"/>
        <v>0.19790822376583503</v>
      </c>
      <c r="AE62" s="360">
        <f t="shared" si="63"/>
        <v>0.6042329999999998</v>
      </c>
      <c r="AF62" s="360">
        <f t="shared" si="64"/>
        <v>0</v>
      </c>
      <c r="AG62" s="360">
        <f t="shared" si="65"/>
        <v>0.84755089244035642</v>
      </c>
      <c r="AH62" s="360">
        <f t="shared" si="66"/>
        <v>0.57086811856993458</v>
      </c>
      <c r="AI62" s="360">
        <f t="shared" si="67"/>
        <v>8.1472602199894216E-4</v>
      </c>
      <c r="AJ62" s="360">
        <f t="shared" si="68"/>
        <v>0.10387999999999999</v>
      </c>
      <c r="AK62" s="360">
        <f t="shared" si="69"/>
        <v>0.10471178830574747</v>
      </c>
      <c r="AL62" s="360">
        <f t="shared" si="70"/>
        <v>0.10387999999999999</v>
      </c>
      <c r="AM62" s="360">
        <f t="shared" si="71"/>
        <v>1.3355999999999999</v>
      </c>
      <c r="AN62" s="360">
        <f t="shared" si="72"/>
        <v>2.8121747877073517E-2</v>
      </c>
      <c r="AO62" s="360">
        <f t="shared" si="73"/>
        <v>7.3499999999999998E-4</v>
      </c>
      <c r="AP62" s="360">
        <f t="shared" si="74"/>
        <v>0.32999999999999996</v>
      </c>
      <c r="AQ62" s="360">
        <f t="shared" si="75"/>
        <v>1.2539999999999998</v>
      </c>
      <c r="AR62" s="360">
        <f t="shared" si="76"/>
        <v>1.0559999999999998</v>
      </c>
      <c r="AS62" s="360">
        <f t="shared" si="48"/>
        <v>0.33073499999999995</v>
      </c>
      <c r="AT62" s="360">
        <f t="shared" si="41"/>
        <v>3.0870234359137854</v>
      </c>
      <c r="AU62">
        <f t="shared" si="77"/>
        <v>53</v>
      </c>
      <c r="AV62" s="542">
        <f t="shared" si="42"/>
        <v>0.94496011293162874</v>
      </c>
      <c r="AW62" s="551">
        <f t="shared" si="78"/>
        <v>86.452344622017819</v>
      </c>
      <c r="AX62" s="551">
        <f t="shared" si="79"/>
        <v>20.727471955618405</v>
      </c>
      <c r="AY62" s="9"/>
      <c r="AZ62" s="4">
        <f t="shared" si="43"/>
        <v>94.49601129316288</v>
      </c>
      <c r="BA62" s="360">
        <f t="shared" si="80"/>
        <v>0.33609734933836655</v>
      </c>
      <c r="BB62" s="360">
        <f t="shared" si="44"/>
        <v>2.2878626807461035</v>
      </c>
      <c r="BC62" s="360">
        <f t="shared" si="45"/>
        <v>1.7290468924403564</v>
      </c>
      <c r="BD62" s="360">
        <f t="shared" si="46"/>
        <v>0.54545978830574748</v>
      </c>
      <c r="BE62" s="360">
        <f t="shared" si="47"/>
        <v>2.8121747877073517E-2</v>
      </c>
      <c r="BK62" s="18"/>
      <c r="BL62" s="19"/>
    </row>
    <row r="63" spans="1:64" x14ac:dyDescent="0.2">
      <c r="A63" s="23" t="s">
        <v>118</v>
      </c>
      <c r="B63" s="74">
        <v>2</v>
      </c>
      <c r="C63" s="441" t="s">
        <v>205</v>
      </c>
      <c r="D63" s="21" t="s">
        <v>103</v>
      </c>
      <c r="G63">
        <v>54</v>
      </c>
      <c r="H63" s="548">
        <f t="shared" si="0"/>
        <v>21</v>
      </c>
      <c r="I63" s="4">
        <f t="shared" si="49"/>
        <v>1</v>
      </c>
      <c r="J63" s="360">
        <f t="shared" si="81"/>
        <v>2.7</v>
      </c>
      <c r="K63" s="4">
        <f t="shared" si="50"/>
        <v>2.8571428571428568</v>
      </c>
      <c r="L63" s="4"/>
      <c r="M63" s="360">
        <f t="shared" si="51"/>
        <v>0.95366964504662799</v>
      </c>
      <c r="N63" s="4">
        <f t="shared" si="52"/>
        <v>0.30844855219624828</v>
      </c>
      <c r="O63" s="4">
        <f t="shared" si="35"/>
        <v>2.8542242760981242</v>
      </c>
      <c r="P63" s="4">
        <f t="shared" si="36"/>
        <v>2.5457757239018761</v>
      </c>
      <c r="Q63" s="4">
        <f t="shared" si="53"/>
        <v>0</v>
      </c>
      <c r="R63" s="4">
        <f t="shared" si="54"/>
        <v>2.7014678187569312</v>
      </c>
      <c r="S63" s="360">
        <f t="shared" si="55"/>
        <v>3.648964187889666E-2</v>
      </c>
      <c r="T63" s="360">
        <f t="shared" si="56"/>
        <v>0.3</v>
      </c>
      <c r="U63" s="360">
        <f t="shared" si="57"/>
        <v>0.33747478861326896</v>
      </c>
      <c r="V63" s="4">
        <f t="shared" si="37"/>
        <v>8.9041427320827149E-2</v>
      </c>
      <c r="W63" s="360">
        <f t="shared" si="58"/>
        <v>1.5856751558660289E-5</v>
      </c>
      <c r="X63" s="360">
        <f t="shared" si="38"/>
        <v>1.5856751558660289E-5</v>
      </c>
      <c r="Y63" s="4">
        <f t="shared" si="59"/>
        <v>0.56784733489862438</v>
      </c>
      <c r="Z63" s="360">
        <f t="shared" si="12"/>
        <v>3.2245059575147046E-4</v>
      </c>
      <c r="AA63" s="541">
        <f t="shared" si="39"/>
        <v>3.2245059575147046E-4</v>
      </c>
      <c r="AB63" s="360">
        <f t="shared" si="60"/>
        <v>2.6381457055487267</v>
      </c>
      <c r="AC63" s="360">
        <f t="shared" si="61"/>
        <v>4.1758876582231139E-2</v>
      </c>
      <c r="AD63" s="360">
        <f t="shared" si="62"/>
        <v>0.2016423411953791</v>
      </c>
      <c r="AE63" s="360">
        <f t="shared" si="63"/>
        <v>0.6042329999999998</v>
      </c>
      <c r="AF63" s="360">
        <f t="shared" si="64"/>
        <v>0</v>
      </c>
      <c r="AG63" s="360">
        <f t="shared" si="65"/>
        <v>0.85304881653535447</v>
      </c>
      <c r="AH63" s="360">
        <f t="shared" si="66"/>
        <v>0.58147709505546485</v>
      </c>
      <c r="AI63" s="360">
        <f t="shared" si="67"/>
        <v>8.4528903018535524E-4</v>
      </c>
      <c r="AJ63" s="360">
        <f t="shared" si="68"/>
        <v>0.10584</v>
      </c>
      <c r="AK63" s="360">
        <f t="shared" si="69"/>
        <v>0.10670332806072415</v>
      </c>
      <c r="AL63" s="360">
        <f t="shared" si="70"/>
        <v>0.10584</v>
      </c>
      <c r="AM63" s="360">
        <f t="shared" si="71"/>
        <v>1.3608</v>
      </c>
      <c r="AN63" s="360">
        <f t="shared" si="72"/>
        <v>2.9191713503117327E-2</v>
      </c>
      <c r="AO63" s="360">
        <f t="shared" si="73"/>
        <v>7.3499999999999998E-4</v>
      </c>
      <c r="AP63" s="360">
        <f t="shared" si="74"/>
        <v>0.32999999999999996</v>
      </c>
      <c r="AQ63" s="360">
        <f t="shared" si="75"/>
        <v>1.2539999999999998</v>
      </c>
      <c r="AR63" s="360">
        <f t="shared" si="76"/>
        <v>1.0559999999999998</v>
      </c>
      <c r="AS63" s="360">
        <f t="shared" si="48"/>
        <v>0.33073499999999995</v>
      </c>
      <c r="AT63" s="360">
        <f t="shared" si="41"/>
        <v>3.124131954059775</v>
      </c>
      <c r="AU63">
        <f t="shared" si="77"/>
        <v>54</v>
      </c>
      <c r="AV63" s="542">
        <f t="shared" si="42"/>
        <v>0.94530976931829336</v>
      </c>
      <c r="AW63" s="551">
        <f t="shared" si="78"/>
        <v>87.558840826767721</v>
      </c>
      <c r="AX63" s="551">
        <f t="shared" si="79"/>
        <v>21.119158466307518</v>
      </c>
      <c r="AY63" s="9"/>
      <c r="AZ63" s="4">
        <f t="shared" si="43"/>
        <v>94.530976931829329</v>
      </c>
      <c r="BA63" s="360">
        <f t="shared" si="80"/>
        <v>0.33747478861326896</v>
      </c>
      <c r="BB63" s="360">
        <f t="shared" si="44"/>
        <v>2.3205521445960784</v>
      </c>
      <c r="BC63" s="360">
        <f t="shared" si="45"/>
        <v>1.7511768165353545</v>
      </c>
      <c r="BD63" s="360">
        <f t="shared" si="46"/>
        <v>0.55576732806072415</v>
      </c>
      <c r="BE63" s="360">
        <f t="shared" si="47"/>
        <v>2.9191713503117327E-2</v>
      </c>
      <c r="BK63" s="18"/>
      <c r="BL63" s="19"/>
    </row>
    <row r="64" spans="1:64" x14ac:dyDescent="0.2">
      <c r="A64" s="75"/>
      <c r="B64" s="30"/>
      <c r="G64">
        <v>55</v>
      </c>
      <c r="H64" s="548">
        <f t="shared" si="0"/>
        <v>21</v>
      </c>
      <c r="I64" s="4">
        <f t="shared" si="49"/>
        <v>1</v>
      </c>
      <c r="J64" s="360">
        <f t="shared" si="81"/>
        <v>2.75</v>
      </c>
      <c r="K64" s="4">
        <f t="shared" si="50"/>
        <v>2.9100529100529098</v>
      </c>
      <c r="L64" s="4"/>
      <c r="M64" s="360">
        <f t="shared" si="51"/>
        <v>0.95369350816315601</v>
      </c>
      <c r="N64" s="4">
        <f t="shared" si="52"/>
        <v>0.30828142651374058</v>
      </c>
      <c r="O64" s="4">
        <f t="shared" si="35"/>
        <v>2.9041407132568704</v>
      </c>
      <c r="P64" s="4">
        <f t="shared" si="36"/>
        <v>2.5958592867431296</v>
      </c>
      <c r="Q64" s="4">
        <f t="shared" si="53"/>
        <v>0</v>
      </c>
      <c r="R64" s="4">
        <f t="shared" si="54"/>
        <v>2.7514395843802286</v>
      </c>
      <c r="S64" s="360">
        <f t="shared" si="55"/>
        <v>3.7852098932472225E-2</v>
      </c>
      <c r="T64" s="360">
        <f t="shared" si="56"/>
        <v>0.3</v>
      </c>
      <c r="U64" s="360">
        <f t="shared" si="57"/>
        <v>0.33887827926469566</v>
      </c>
      <c r="V64" s="4">
        <f t="shared" si="37"/>
        <v>8.899318229193498E-2</v>
      </c>
      <c r="W64" s="360">
        <f t="shared" si="58"/>
        <v>1.5839572988891139E-5</v>
      </c>
      <c r="X64" s="360">
        <f t="shared" si="38"/>
        <v>1.5839572988891139E-5</v>
      </c>
      <c r="Y64" s="4">
        <f t="shared" si="59"/>
        <v>0.57820964850173751</v>
      </c>
      <c r="Z64" s="360">
        <f t="shared" si="12"/>
        <v>3.3432639762050285E-4</v>
      </c>
      <c r="AA64" s="541">
        <f t="shared" si="39"/>
        <v>3.3432639762050285E-4</v>
      </c>
      <c r="AB64" s="360">
        <f t="shared" si="60"/>
        <v>2.6869797551246375</v>
      </c>
      <c r="AC64" s="360">
        <f t="shared" si="61"/>
        <v>4.331916122669794E-2</v>
      </c>
      <c r="AD64" s="360">
        <f t="shared" si="62"/>
        <v>0.20537645862492315</v>
      </c>
      <c r="AE64" s="360">
        <f t="shared" si="63"/>
        <v>0.6042329999999998</v>
      </c>
      <c r="AF64" s="360">
        <f t="shared" si="64"/>
        <v>0</v>
      </c>
      <c r="AG64" s="360">
        <f t="shared" si="65"/>
        <v>0.8585819635282923</v>
      </c>
      <c r="AH64" s="360">
        <f t="shared" si="66"/>
        <v>0.59208072257487598</v>
      </c>
      <c r="AI64" s="360">
        <f t="shared" si="67"/>
        <v>8.7639895511196816E-4</v>
      </c>
      <c r="AJ64" s="360">
        <f t="shared" si="68"/>
        <v>0.10779999999999999</v>
      </c>
      <c r="AK64" s="360">
        <f t="shared" si="69"/>
        <v>0.10869545107106078</v>
      </c>
      <c r="AL64" s="360">
        <f t="shared" si="70"/>
        <v>0.10779999999999999</v>
      </c>
      <c r="AM64" s="360">
        <f t="shared" si="71"/>
        <v>1.3859999999999997</v>
      </c>
      <c r="AN64" s="360">
        <f t="shared" si="72"/>
        <v>3.0281679145977781E-2</v>
      </c>
      <c r="AO64" s="360">
        <f t="shared" si="73"/>
        <v>7.3499999999999998E-4</v>
      </c>
      <c r="AP64" s="360">
        <f t="shared" si="74"/>
        <v>0.32999999999999996</v>
      </c>
      <c r="AQ64" s="360">
        <f t="shared" si="75"/>
        <v>1.2539999999999998</v>
      </c>
      <c r="AR64" s="360">
        <f t="shared" si="76"/>
        <v>1.0559999999999998</v>
      </c>
      <c r="AS64" s="360">
        <f t="shared" si="48"/>
        <v>0.33073499999999995</v>
      </c>
      <c r="AT64" s="360">
        <f t="shared" si="41"/>
        <v>3.161322538980635</v>
      </c>
      <c r="AU64">
        <f t="shared" si="77"/>
        <v>55</v>
      </c>
      <c r="AV64" s="542">
        <f t="shared" si="42"/>
        <v>0.94564562150625331</v>
      </c>
      <c r="AW64" s="551">
        <f t="shared" si="78"/>
        <v>88.667098176414612</v>
      </c>
      <c r="AX64" s="551">
        <f t="shared" si="79"/>
        <v>21.510867140700306</v>
      </c>
      <c r="AY64" s="9"/>
      <c r="AZ64" s="4">
        <f t="shared" si="43"/>
        <v>94.564562150625335</v>
      </c>
      <c r="BA64" s="360">
        <f t="shared" si="80"/>
        <v>0.33887827926469566</v>
      </c>
      <c r="BB64" s="360">
        <f t="shared" si="44"/>
        <v>2.3532774145993529</v>
      </c>
      <c r="BC64" s="360">
        <f t="shared" si="45"/>
        <v>1.7733419635282921</v>
      </c>
      <c r="BD64" s="360">
        <f t="shared" si="46"/>
        <v>0.56607545107106072</v>
      </c>
      <c r="BE64" s="360">
        <f t="shared" si="47"/>
        <v>3.0281679145977781E-2</v>
      </c>
      <c r="BK64" s="18"/>
      <c r="BL64" s="19"/>
    </row>
    <row r="65" spans="1:64" x14ac:dyDescent="0.2">
      <c r="G65">
        <v>56</v>
      </c>
      <c r="H65" s="548">
        <f t="shared" si="0"/>
        <v>21</v>
      </c>
      <c r="I65" s="4">
        <f t="shared" si="49"/>
        <v>1</v>
      </c>
      <c r="J65" s="360">
        <f t="shared" si="81"/>
        <v>2.8</v>
      </c>
      <c r="K65" s="4">
        <f t="shared" si="50"/>
        <v>2.9629629629629628</v>
      </c>
      <c r="L65" s="4"/>
      <c r="M65" s="360">
        <f t="shared" si="51"/>
        <v>0.95371737122287081</v>
      </c>
      <c r="N65" s="4">
        <f t="shared" si="52"/>
        <v>0.30811429206306901</v>
      </c>
      <c r="O65" s="4">
        <f t="shared" si="35"/>
        <v>2.9540571460315341</v>
      </c>
      <c r="P65" s="4">
        <f t="shared" si="36"/>
        <v>2.6459428539684655</v>
      </c>
      <c r="Q65" s="4">
        <f t="shared" si="53"/>
        <v>0</v>
      </c>
      <c r="R65" s="4">
        <f t="shared" si="54"/>
        <v>2.8014123583318575</v>
      </c>
      <c r="S65" s="360">
        <f t="shared" si="55"/>
        <v>3.9239556007072303E-2</v>
      </c>
      <c r="T65" s="360">
        <f t="shared" si="56"/>
        <v>0.3</v>
      </c>
      <c r="U65" s="360">
        <f t="shared" si="57"/>
        <v>0.34030783828547617</v>
      </c>
      <c r="V65" s="4">
        <f t="shared" si="37"/>
        <v>8.8944934731891939E-2</v>
      </c>
      <c r="W65" s="360">
        <f t="shared" si="58"/>
        <v>1.5822402828921037E-5</v>
      </c>
      <c r="X65" s="360">
        <f t="shared" si="38"/>
        <v>1.5822402828921037E-5</v>
      </c>
      <c r="Y65" s="4">
        <f t="shared" si="59"/>
        <v>0.58856698313363254</v>
      </c>
      <c r="Z65" s="360">
        <f t="shared" si="12"/>
        <v>3.464110936350257E-4</v>
      </c>
      <c r="AA65" s="541">
        <f t="shared" si="39"/>
        <v>3.464110936350257E-4</v>
      </c>
      <c r="AB65" s="360">
        <f t="shared" si="60"/>
        <v>2.7358160100057023</v>
      </c>
      <c r="AC65" s="360">
        <f t="shared" si="61"/>
        <v>4.4908135443621128E-2</v>
      </c>
      <c r="AD65" s="360">
        <f t="shared" si="62"/>
        <v>0.2091105760544672</v>
      </c>
      <c r="AE65" s="360">
        <f t="shared" si="63"/>
        <v>0.6042329999999998</v>
      </c>
      <c r="AF65" s="360">
        <f t="shared" si="64"/>
        <v>0</v>
      </c>
      <c r="AG65" s="360">
        <f t="shared" si="65"/>
        <v>0.86415043397746216</v>
      </c>
      <c r="AH65" s="360">
        <f t="shared" si="66"/>
        <v>0.60267898653507024</v>
      </c>
      <c r="AI65" s="360">
        <f t="shared" si="67"/>
        <v>9.0805490202734848E-4</v>
      </c>
      <c r="AJ65" s="360">
        <f t="shared" si="68"/>
        <v>0.10975999999999998</v>
      </c>
      <c r="AK65" s="360">
        <f t="shared" si="69"/>
        <v>0.11068815708675513</v>
      </c>
      <c r="AL65" s="360">
        <f t="shared" si="70"/>
        <v>0.10975999999999998</v>
      </c>
      <c r="AM65" s="360">
        <f t="shared" si="71"/>
        <v>1.4112</v>
      </c>
      <c r="AN65" s="360">
        <f t="shared" si="72"/>
        <v>3.1391644805657842E-2</v>
      </c>
      <c r="AO65" s="360">
        <f t="shared" si="73"/>
        <v>7.3499999999999998E-4</v>
      </c>
      <c r="AP65" s="360">
        <f t="shared" si="74"/>
        <v>0.32999999999999996</v>
      </c>
      <c r="AQ65" s="360">
        <f t="shared" si="75"/>
        <v>1.2539999999999998</v>
      </c>
      <c r="AR65" s="360">
        <f t="shared" si="76"/>
        <v>1.0559999999999998</v>
      </c>
      <c r="AS65" s="360">
        <f t="shared" si="48"/>
        <v>0.33073499999999995</v>
      </c>
      <c r="AT65" s="360">
        <f t="shared" si="41"/>
        <v>3.1985953076518152</v>
      </c>
      <c r="AU65">
        <f t="shared" si="77"/>
        <v>56</v>
      </c>
      <c r="AV65" s="542">
        <f t="shared" si="42"/>
        <v>0.94596839180002679</v>
      </c>
      <c r="AW65" s="551">
        <f t="shared" si="78"/>
        <v>89.777121698873103</v>
      </c>
      <c r="AX65" s="551">
        <f t="shared" si="79"/>
        <v>21.902597969296696</v>
      </c>
      <c r="AY65" s="9"/>
      <c r="AZ65" s="4">
        <f t="shared" si="43"/>
        <v>94.596839180002675</v>
      </c>
      <c r="BA65" s="360">
        <f t="shared" si="80"/>
        <v>0.34030783828547617</v>
      </c>
      <c r="BB65" s="360">
        <f t="shared" si="44"/>
        <v>2.3860385910642172</v>
      </c>
      <c r="BC65" s="360">
        <f t="shared" si="45"/>
        <v>1.7955424339774622</v>
      </c>
      <c r="BD65" s="360">
        <f t="shared" si="46"/>
        <v>0.57638415708675517</v>
      </c>
      <c r="BE65" s="360">
        <f t="shared" si="47"/>
        <v>3.1391644805657842E-2</v>
      </c>
      <c r="BK65" s="18"/>
      <c r="BL65" s="19"/>
    </row>
    <row r="66" spans="1:64" x14ac:dyDescent="0.2">
      <c r="A66" s="11" t="s">
        <v>77</v>
      </c>
      <c r="B66" s="31"/>
      <c r="C66" s="31"/>
      <c r="G66">
        <v>57</v>
      </c>
      <c r="H66" s="548">
        <f t="shared" si="0"/>
        <v>21</v>
      </c>
      <c r="I66" s="4">
        <f t="shared" si="49"/>
        <v>1</v>
      </c>
      <c r="J66" s="360">
        <f t="shared" si="81"/>
        <v>2.85</v>
      </c>
      <c r="K66" s="4">
        <f t="shared" si="50"/>
        <v>3.0158730158730154</v>
      </c>
      <c r="L66" s="4"/>
      <c r="M66" s="360">
        <f t="shared" si="51"/>
        <v>0.95374123422577262</v>
      </c>
      <c r="N66" s="4">
        <f t="shared" si="52"/>
        <v>0.30794714884426494</v>
      </c>
      <c r="O66" s="4">
        <f t="shared" si="35"/>
        <v>3.0039735744221328</v>
      </c>
      <c r="P66" s="4">
        <f t="shared" si="36"/>
        <v>2.6960264255778674</v>
      </c>
      <c r="Q66" s="4">
        <f t="shared" si="53"/>
        <v>0</v>
      </c>
      <c r="R66" s="4">
        <f t="shared" si="54"/>
        <v>2.8513860875967167</v>
      </c>
      <c r="S66" s="360">
        <f t="shared" si="55"/>
        <v>4.0652013102700557E-2</v>
      </c>
      <c r="T66" s="360">
        <f t="shared" si="56"/>
        <v>0.3</v>
      </c>
      <c r="U66" s="360">
        <f t="shared" si="57"/>
        <v>0.34176348298978254</v>
      </c>
      <c r="V66" s="4">
        <f t="shared" si="37"/>
        <v>8.889668464070706E-2</v>
      </c>
      <c r="W66" s="360">
        <f t="shared" si="58"/>
        <v>1.5805241080218646E-5</v>
      </c>
      <c r="X66" s="360">
        <f t="shared" si="38"/>
        <v>1.5805241080218646E-5</v>
      </c>
      <c r="Y66" s="4">
        <f t="shared" si="59"/>
        <v>0.59891932518969393</v>
      </c>
      <c r="Z66" s="360">
        <f t="shared" si="12"/>
        <v>3.5870435808567835E-4</v>
      </c>
      <c r="AA66" s="541">
        <f t="shared" si="39"/>
        <v>3.5870435808567835E-4</v>
      </c>
      <c r="AB66" s="360">
        <f t="shared" si="60"/>
        <v>2.7846544184272459</v>
      </c>
      <c r="AC66" s="360">
        <f t="shared" si="61"/>
        <v>4.6525801380398302E-2</v>
      </c>
      <c r="AD66" s="360">
        <f t="shared" si="62"/>
        <v>0.21284469348401128</v>
      </c>
      <c r="AE66" s="360">
        <f t="shared" si="63"/>
        <v>0.6042329999999998</v>
      </c>
      <c r="AF66" s="360">
        <f t="shared" si="64"/>
        <v>0</v>
      </c>
      <c r="AG66" s="360">
        <f t="shared" si="65"/>
        <v>0.869754329476218</v>
      </c>
      <c r="AH66" s="360">
        <f t="shared" si="66"/>
        <v>0.61327187321263121</v>
      </c>
      <c r="AI66" s="360">
        <f t="shared" si="67"/>
        <v>9.4025597618432411E-4</v>
      </c>
      <c r="AJ66" s="360">
        <f t="shared" si="68"/>
        <v>0.11172</v>
      </c>
      <c r="AK66" s="360">
        <f t="shared" si="69"/>
        <v>0.11268144585675871</v>
      </c>
      <c r="AL66" s="360">
        <f t="shared" si="70"/>
        <v>0.11172</v>
      </c>
      <c r="AM66" s="360">
        <f t="shared" si="71"/>
        <v>1.4363999999999997</v>
      </c>
      <c r="AN66" s="360">
        <f t="shared" si="72"/>
        <v>3.252161048216045E-2</v>
      </c>
      <c r="AO66" s="360">
        <f t="shared" si="73"/>
        <v>7.3499999999999998E-4</v>
      </c>
      <c r="AP66" s="360">
        <f t="shared" si="74"/>
        <v>0.32999999999999996</v>
      </c>
      <c r="AQ66" s="360">
        <f t="shared" si="75"/>
        <v>1.2539999999999998</v>
      </c>
      <c r="AR66" s="360">
        <f t="shared" si="76"/>
        <v>1.0559999999999998</v>
      </c>
      <c r="AS66" s="360">
        <f t="shared" si="48"/>
        <v>0.33073499999999995</v>
      </c>
      <c r="AT66" s="360">
        <f t="shared" si="41"/>
        <v>3.2359503784040848</v>
      </c>
      <c r="AU66">
        <f t="shared" si="77"/>
        <v>57</v>
      </c>
      <c r="AV66" s="542">
        <f t="shared" si="42"/>
        <v>0.94627875283654117</v>
      </c>
      <c r="AW66" s="551">
        <f t="shared" si="78"/>
        <v>90.888916473810895</v>
      </c>
      <c r="AX66" s="551">
        <f t="shared" si="79"/>
        <v>22.294350942556829</v>
      </c>
      <c r="AY66" s="9"/>
      <c r="AZ66" s="4">
        <f t="shared" si="43"/>
        <v>94.62787528365412</v>
      </c>
      <c r="BA66" s="360">
        <f t="shared" si="80"/>
        <v>0.34176348298978254</v>
      </c>
      <c r="BB66" s="360">
        <f t="shared" si="44"/>
        <v>2.4188357753329761</v>
      </c>
      <c r="BC66" s="360">
        <f t="shared" si="45"/>
        <v>1.817778329476218</v>
      </c>
      <c r="BD66" s="360">
        <f t="shared" si="46"/>
        <v>0.58669344585675864</v>
      </c>
      <c r="BE66" s="360">
        <f t="shared" si="47"/>
        <v>3.252161048216045E-2</v>
      </c>
      <c r="BK66" s="18"/>
      <c r="BL66" s="19"/>
    </row>
    <row r="67" spans="1:64" x14ac:dyDescent="0.2">
      <c r="A67" s="14" t="s">
        <v>55</v>
      </c>
      <c r="B67" s="15" t="s">
        <v>7</v>
      </c>
      <c r="C67" s="15" t="s">
        <v>76</v>
      </c>
      <c r="G67">
        <v>58</v>
      </c>
      <c r="H67" s="548">
        <f t="shared" si="0"/>
        <v>21</v>
      </c>
      <c r="I67" s="4">
        <f t="shared" si="49"/>
        <v>1</v>
      </c>
      <c r="J67" s="360">
        <f t="shared" si="81"/>
        <v>2.9</v>
      </c>
      <c r="K67" s="4">
        <f t="shared" si="50"/>
        <v>3.0687830687830684</v>
      </c>
      <c r="L67" s="4"/>
      <c r="M67" s="360">
        <f t="shared" si="51"/>
        <v>0.95376509717186198</v>
      </c>
      <c r="N67" s="4">
        <f t="shared" si="52"/>
        <v>0.30777999685735979</v>
      </c>
      <c r="O67" s="4">
        <f t="shared" si="35"/>
        <v>3.05388999842868</v>
      </c>
      <c r="P67" s="4">
        <f t="shared" si="36"/>
        <v>2.7461100015713198</v>
      </c>
      <c r="Q67" s="4">
        <f t="shared" si="53"/>
        <v>0</v>
      </c>
      <c r="R67" s="4">
        <f t="shared" si="54"/>
        <v>2.9013607228113028</v>
      </c>
      <c r="S67" s="360">
        <f t="shared" si="55"/>
        <v>4.2089470219360631E-2</v>
      </c>
      <c r="T67" s="360">
        <f t="shared" si="56"/>
        <v>0.3</v>
      </c>
      <c r="U67" s="360">
        <f t="shared" si="57"/>
        <v>0.34324523101365556</v>
      </c>
      <c r="V67" s="4">
        <f t="shared" si="37"/>
        <v>8.8848432018389434E-2</v>
      </c>
      <c r="W67" s="360">
        <f t="shared" si="58"/>
        <v>1.5788087744252739E-5</v>
      </c>
      <c r="X67" s="360">
        <f t="shared" si="38"/>
        <v>1.5788087744252739E-5</v>
      </c>
      <c r="Y67" s="4">
        <f t="shared" si="59"/>
        <v>0.60926666184068001</v>
      </c>
      <c r="Z67" s="360">
        <f t="shared" si="12"/>
        <v>3.7120586523048556E-4</v>
      </c>
      <c r="AA67" s="541">
        <f t="shared" si="39"/>
        <v>3.7120586523048556E-4</v>
      </c>
      <c r="AB67" s="360">
        <f t="shared" si="60"/>
        <v>2.8334949321881866</v>
      </c>
      <c r="AC67" s="360">
        <f t="shared" si="61"/>
        <v>4.817216118441682E-2</v>
      </c>
      <c r="AD67" s="360">
        <f t="shared" si="62"/>
        <v>0.21657881091355533</v>
      </c>
      <c r="AE67" s="360">
        <f t="shared" si="63"/>
        <v>0.6042329999999998</v>
      </c>
      <c r="AF67" s="360">
        <f t="shared" si="64"/>
        <v>0</v>
      </c>
      <c r="AG67" s="360">
        <f t="shared" si="65"/>
        <v>0.87539375265881458</v>
      </c>
      <c r="AH67" s="360">
        <f t="shared" si="66"/>
        <v>0.62385936967876787</v>
      </c>
      <c r="AI67" s="360">
        <f t="shared" si="67"/>
        <v>9.7300128283997402E-4</v>
      </c>
      <c r="AJ67" s="360">
        <f t="shared" si="68"/>
        <v>0.11367999999999999</v>
      </c>
      <c r="AK67" s="360">
        <f t="shared" si="69"/>
        <v>0.11467531712897529</v>
      </c>
      <c r="AL67" s="360">
        <f t="shared" si="70"/>
        <v>0.11367999999999999</v>
      </c>
      <c r="AM67" s="360">
        <f t="shared" si="71"/>
        <v>1.4615999999999996</v>
      </c>
      <c r="AN67" s="360">
        <f t="shared" si="72"/>
        <v>3.3671576175488507E-2</v>
      </c>
      <c r="AO67" s="360">
        <f t="shared" si="73"/>
        <v>7.3499999999999998E-4</v>
      </c>
      <c r="AP67" s="360">
        <f t="shared" si="74"/>
        <v>0.32999999999999996</v>
      </c>
      <c r="AQ67" s="360">
        <f t="shared" si="75"/>
        <v>1.2539999999999998</v>
      </c>
      <c r="AR67" s="360">
        <f t="shared" si="76"/>
        <v>1.0559999999999998</v>
      </c>
      <c r="AS67" s="360">
        <f t="shared" si="48"/>
        <v>0.33073499999999995</v>
      </c>
      <c r="AT67" s="360">
        <f t="shared" si="41"/>
        <v>3.2733878709299082</v>
      </c>
      <c r="AU67">
        <f t="shared" si="77"/>
        <v>58</v>
      </c>
      <c r="AV67" s="542">
        <f t="shared" si="42"/>
        <v>0.94657733178023096</v>
      </c>
      <c r="AW67" s="551">
        <f t="shared" si="78"/>
        <v>92.002487632940728</v>
      </c>
      <c r="AX67" s="551">
        <f t="shared" si="79"/>
        <v>22.686126050901056</v>
      </c>
      <c r="AY67" s="9"/>
      <c r="AZ67" s="4">
        <f t="shared" si="43"/>
        <v>94.657733178023094</v>
      </c>
      <c r="BA67" s="360">
        <f t="shared" si="80"/>
        <v>0.34324523101365556</v>
      </c>
      <c r="BB67" s="360">
        <f t="shared" si="44"/>
        <v>2.4516690697877896</v>
      </c>
      <c r="BC67" s="360">
        <f t="shared" si="45"/>
        <v>1.8400497526588144</v>
      </c>
      <c r="BD67" s="360">
        <f t="shared" si="46"/>
        <v>0.59700331712897514</v>
      </c>
      <c r="BE67" s="360">
        <f t="shared" si="47"/>
        <v>3.3671576175488507E-2</v>
      </c>
      <c r="BK67" s="18"/>
      <c r="BL67" s="19"/>
    </row>
    <row r="68" spans="1:64" x14ac:dyDescent="0.2">
      <c r="A68" s="32" t="s">
        <v>208</v>
      </c>
      <c r="B68" s="449">
        <f>D2_Vinmin</f>
        <v>1</v>
      </c>
      <c r="C68" s="21" t="s">
        <v>18</v>
      </c>
      <c r="G68">
        <v>59</v>
      </c>
      <c r="H68" s="548">
        <f t="shared" si="0"/>
        <v>21</v>
      </c>
      <c r="I68" s="4">
        <f t="shared" si="49"/>
        <v>1</v>
      </c>
      <c r="J68" s="360">
        <f t="shared" si="81"/>
        <v>2.95</v>
      </c>
      <c r="K68" s="4">
        <f t="shared" si="50"/>
        <v>3.1216931216931214</v>
      </c>
      <c r="L68" s="4"/>
      <c r="M68" s="360">
        <f t="shared" si="51"/>
        <v>0.95378896006113867</v>
      </c>
      <c r="N68" s="4">
        <f t="shared" si="52"/>
        <v>0.30761283610238466</v>
      </c>
      <c r="O68" s="4">
        <f t="shared" si="35"/>
        <v>3.1038064180511924</v>
      </c>
      <c r="P68" s="4">
        <f t="shared" si="36"/>
        <v>2.796193581948808</v>
      </c>
      <c r="Q68" s="4">
        <f t="shared" si="53"/>
        <v>0</v>
      </c>
      <c r="R68" s="4">
        <f t="shared" si="54"/>
        <v>2.951336217954716</v>
      </c>
      <c r="S68" s="360">
        <f t="shared" si="55"/>
        <v>4.3551927357056236E-2</v>
      </c>
      <c r="T68" s="360">
        <f t="shared" si="56"/>
        <v>0.3</v>
      </c>
      <c r="U68" s="360">
        <f t="shared" si="57"/>
        <v>0.34475310031554118</v>
      </c>
      <c r="V68" s="4">
        <f t="shared" si="37"/>
        <v>8.8800176864948011E-2</v>
      </c>
      <c r="W68" s="360">
        <f t="shared" si="58"/>
        <v>1.5770942822492095E-5</v>
      </c>
      <c r="X68" s="360">
        <f t="shared" si="38"/>
        <v>1.5770942822492095E-5</v>
      </c>
      <c r="Y68" s="4">
        <f t="shared" si="59"/>
        <v>0.61960898096692296</v>
      </c>
      <c r="Z68" s="360">
        <f t="shared" si="12"/>
        <v>3.8391528929486869E-4</v>
      </c>
      <c r="AA68" s="541">
        <f t="shared" si="39"/>
        <v>3.8391528929486869E-4</v>
      </c>
      <c r="AB68" s="360">
        <f t="shared" si="60"/>
        <v>2.8823375063494878</v>
      </c>
      <c r="AC68" s="360">
        <f t="shared" si="61"/>
        <v>4.9847217003053904E-2</v>
      </c>
      <c r="AD68" s="360">
        <f t="shared" si="62"/>
        <v>0.22031292834309937</v>
      </c>
      <c r="AE68" s="360">
        <f t="shared" si="63"/>
        <v>0.6042329999999998</v>
      </c>
      <c r="AF68" s="360">
        <f t="shared" si="64"/>
        <v>0</v>
      </c>
      <c r="AG68" s="360">
        <f t="shared" si="65"/>
        <v>0.8810688072063233</v>
      </c>
      <c r="AH68" s="360">
        <f t="shared" si="66"/>
        <v>0.63444146373188959</v>
      </c>
      <c r="AI68" s="360">
        <f t="shared" si="67"/>
        <v>1.0062899272556564E-3</v>
      </c>
      <c r="AJ68" s="360">
        <f t="shared" si="68"/>
        <v>0.11564000000000001</v>
      </c>
      <c r="AK68" s="360">
        <f t="shared" si="69"/>
        <v>0.11666977065025978</v>
      </c>
      <c r="AL68" s="360">
        <f t="shared" si="70"/>
        <v>0.11564000000000001</v>
      </c>
      <c r="AM68" s="360">
        <f t="shared" si="71"/>
        <v>1.4868000000000001</v>
      </c>
      <c r="AN68" s="360">
        <f t="shared" si="72"/>
        <v>3.4841541885644985E-2</v>
      </c>
      <c r="AO68" s="360">
        <f t="shared" si="73"/>
        <v>7.3499999999999998E-4</v>
      </c>
      <c r="AP68" s="360">
        <f t="shared" si="74"/>
        <v>0.32999999999999996</v>
      </c>
      <c r="AQ68" s="360">
        <f t="shared" si="75"/>
        <v>1.2539999999999998</v>
      </c>
      <c r="AR68" s="360">
        <f t="shared" si="76"/>
        <v>1.0559999999999998</v>
      </c>
      <c r="AS68" s="360">
        <f t="shared" si="48"/>
        <v>0.33073499999999995</v>
      </c>
      <c r="AT68" s="360">
        <f t="shared" si="41"/>
        <v>3.3109079062898861</v>
      </c>
      <c r="AU68">
        <f t="shared" si="77"/>
        <v>59</v>
      </c>
      <c r="AV68" s="542">
        <f t="shared" si="42"/>
        <v>0.9468647140999904</v>
      </c>
      <c r="AW68" s="551">
        <f t="shared" si="78"/>
        <v>93.11784036031618</v>
      </c>
      <c r="AX68" s="551">
        <f t="shared" si="79"/>
        <v>23.077923284709872</v>
      </c>
      <c r="AY68" s="9"/>
      <c r="AZ68" s="4">
        <f t="shared" si="43"/>
        <v>94.686471409999044</v>
      </c>
      <c r="BA68" s="360">
        <f t="shared" si="80"/>
        <v>0.34475310031554118</v>
      </c>
      <c r="BB68" s="360">
        <f t="shared" si="44"/>
        <v>2.4845385778565832</v>
      </c>
      <c r="BC68" s="360">
        <f t="shared" si="45"/>
        <v>1.8623568072063235</v>
      </c>
      <c r="BD68" s="360">
        <f t="shared" si="46"/>
        <v>0.60731377065025982</v>
      </c>
      <c r="BE68" s="360">
        <f t="shared" si="47"/>
        <v>3.4841541885644985E-2</v>
      </c>
      <c r="BK68" s="18"/>
      <c r="BL68" s="19"/>
    </row>
    <row r="69" spans="1:64" x14ac:dyDescent="0.2">
      <c r="A69" s="23" t="s">
        <v>78</v>
      </c>
      <c r="B69" s="449">
        <f>1-B68</f>
        <v>0</v>
      </c>
      <c r="C69" s="21" t="s">
        <v>18</v>
      </c>
      <c r="G69">
        <v>60</v>
      </c>
      <c r="H69" s="548">
        <f t="shared" si="0"/>
        <v>21</v>
      </c>
      <c r="I69" s="4">
        <f t="shared" si="49"/>
        <v>1</v>
      </c>
      <c r="J69" s="360">
        <f t="shared" si="81"/>
        <v>3</v>
      </c>
      <c r="K69" s="4">
        <f t="shared" si="50"/>
        <v>3.1746031746031744</v>
      </c>
      <c r="L69" s="4"/>
      <c r="M69" s="360">
        <f t="shared" si="51"/>
        <v>0.95381282289360292</v>
      </c>
      <c r="N69" s="4">
        <f t="shared" si="52"/>
        <v>0.30744566657937095</v>
      </c>
      <c r="O69" s="4">
        <f t="shared" si="35"/>
        <v>3.1537228332896854</v>
      </c>
      <c r="P69" s="4">
        <f t="shared" si="36"/>
        <v>2.8462771667103146</v>
      </c>
      <c r="Q69" s="4">
        <f t="shared" si="53"/>
        <v>0</v>
      </c>
      <c r="R69" s="4">
        <f t="shared" si="54"/>
        <v>3.0013125300705026</v>
      </c>
      <c r="S69" s="360">
        <f t="shared" si="55"/>
        <v>4.5039384515791009E-2</v>
      </c>
      <c r="T69" s="360">
        <f t="shared" si="56"/>
        <v>0.3</v>
      </c>
      <c r="U69" s="360">
        <f t="shared" si="57"/>
        <v>0.34628710917683714</v>
      </c>
      <c r="V69" s="4">
        <f t="shared" si="37"/>
        <v>8.8751919180391881E-2</v>
      </c>
      <c r="W69" s="360">
        <f t="shared" si="58"/>
        <v>1.5753806316405625E-5</v>
      </c>
      <c r="X69" s="360">
        <f t="shared" si="38"/>
        <v>1.5753806316405625E-5</v>
      </c>
      <c r="Y69" s="4">
        <f t="shared" si="59"/>
        <v>0.62994627109907841</v>
      </c>
      <c r="Z69" s="360">
        <f t="shared" si="12"/>
        <v>3.9683230447163357E-4</v>
      </c>
      <c r="AA69" s="541">
        <f t="shared" si="39"/>
        <v>3.9683230447163357E-4</v>
      </c>
      <c r="AB69" s="360">
        <f t="shared" si="60"/>
        <v>2.9311820989627053</v>
      </c>
      <c r="AC69" s="360">
        <f t="shared" si="61"/>
        <v>5.1550970983676461E-2</v>
      </c>
      <c r="AD69" s="360">
        <f t="shared" si="62"/>
        <v>0.22404704577264345</v>
      </c>
      <c r="AE69" s="360">
        <f t="shared" si="63"/>
        <v>0.6042329999999998</v>
      </c>
      <c r="AF69" s="360">
        <f t="shared" si="64"/>
        <v>0</v>
      </c>
      <c r="AG69" s="360">
        <f t="shared" si="65"/>
        <v>0.88677959785262783</v>
      </c>
      <c r="AH69" s="360">
        <f t="shared" si="66"/>
        <v>0.6450181438368936</v>
      </c>
      <c r="AI69" s="360">
        <f t="shared" si="67"/>
        <v>1.0401210146969788E-3</v>
      </c>
      <c r="AJ69" s="360">
        <f t="shared" si="68"/>
        <v>0.1176</v>
      </c>
      <c r="AK69" s="360">
        <f t="shared" si="69"/>
        <v>0.11866480616641671</v>
      </c>
      <c r="AL69" s="360">
        <f t="shared" si="70"/>
        <v>0.1176</v>
      </c>
      <c r="AM69" s="360">
        <f t="shared" si="71"/>
        <v>1.5119999999999996</v>
      </c>
      <c r="AN69" s="360">
        <f t="shared" si="72"/>
        <v>3.603150761263281E-2</v>
      </c>
      <c r="AO69" s="360">
        <f t="shared" si="73"/>
        <v>7.3499999999999998E-4</v>
      </c>
      <c r="AP69" s="360">
        <f t="shared" si="74"/>
        <v>0.32999999999999996</v>
      </c>
      <c r="AQ69" s="360">
        <f t="shared" si="75"/>
        <v>1.2539999999999998</v>
      </c>
      <c r="AR69" s="360">
        <f t="shared" si="76"/>
        <v>1.0559999999999998</v>
      </c>
      <c r="AS69" s="360">
        <f t="shared" si="48"/>
        <v>0.33073499999999995</v>
      </c>
      <c r="AT69" s="360">
        <f t="shared" si="41"/>
        <v>3.3485106069193016</v>
      </c>
      <c r="AU69">
        <f t="shared" si="77"/>
        <v>60</v>
      </c>
      <c r="AV69" s="542">
        <f t="shared" si="42"/>
        <v>0.94714144697581004</v>
      </c>
      <c r="AW69" s="551">
        <f t="shared" si="78"/>
        <v>94.234979892631387</v>
      </c>
      <c r="AX69" s="551">
        <f t="shared" si="79"/>
        <v>23.469742634323829</v>
      </c>
      <c r="AY69" s="9"/>
      <c r="AZ69" s="4">
        <f t="shared" si="43"/>
        <v>94.714144697581006</v>
      </c>
      <c r="BA69" s="360">
        <f t="shared" si="80"/>
        <v>0.34628710917683714</v>
      </c>
      <c r="BB69" s="360">
        <f t="shared" si="44"/>
        <v>2.5174444040190442</v>
      </c>
      <c r="BC69" s="360">
        <f t="shared" si="45"/>
        <v>1.8846995978526278</v>
      </c>
      <c r="BD69" s="360">
        <f t="shared" si="46"/>
        <v>0.61762480616641657</v>
      </c>
      <c r="BE69" s="360">
        <f t="shared" si="47"/>
        <v>3.603150761263281E-2</v>
      </c>
      <c r="BK69" s="18"/>
      <c r="BL69" s="19"/>
    </row>
    <row r="70" spans="1:64" x14ac:dyDescent="0.2">
      <c r="A70" s="33" t="s">
        <v>209</v>
      </c>
      <c r="B70" s="449">
        <f>Iripple2_Vinnom</f>
        <v>0.31787186806216305</v>
      </c>
      <c r="C70" s="21" t="s">
        <v>1</v>
      </c>
      <c r="G70">
        <v>61</v>
      </c>
      <c r="H70" s="548">
        <f t="shared" si="0"/>
        <v>21</v>
      </c>
      <c r="I70" s="4">
        <f t="shared" si="49"/>
        <v>1</v>
      </c>
      <c r="J70" s="360">
        <f t="shared" si="81"/>
        <v>3.05</v>
      </c>
      <c r="K70" s="4">
        <f t="shared" si="50"/>
        <v>3.227513227513227</v>
      </c>
      <c r="L70" s="4"/>
      <c r="M70" s="360">
        <f t="shared" si="51"/>
        <v>0.95383668566925495</v>
      </c>
      <c r="N70" s="4">
        <f t="shared" si="52"/>
        <v>0.30727848828834992</v>
      </c>
      <c r="O70" s="4">
        <f t="shared" si="35"/>
        <v>3.203639244144175</v>
      </c>
      <c r="P70" s="4">
        <f t="shared" si="36"/>
        <v>2.8963607558558246</v>
      </c>
      <c r="Q70" s="4">
        <f t="shared" si="53"/>
        <v>0</v>
      </c>
      <c r="R70" s="4">
        <f t="shared" si="54"/>
        <v>3.0512896190158236</v>
      </c>
      <c r="S70" s="360">
        <f t="shared" si="55"/>
        <v>4.6551841695568648E-2</v>
      </c>
      <c r="T70" s="360">
        <f t="shared" si="56"/>
        <v>0.3</v>
      </c>
      <c r="U70" s="360">
        <f t="shared" si="57"/>
        <v>0.34784727620244954</v>
      </c>
      <c r="V70" s="4">
        <f t="shared" si="37"/>
        <v>8.8703658964730051E-2</v>
      </c>
      <c r="W70" s="360">
        <f t="shared" si="58"/>
        <v>1.5736678227462269E-5</v>
      </c>
      <c r="X70" s="360">
        <f t="shared" si="38"/>
        <v>1.5736678227462269E-5</v>
      </c>
      <c r="Y70" s="4">
        <f t="shared" si="59"/>
        <v>0.64027852136470864</v>
      </c>
      <c r="Z70" s="360">
        <f t="shared" si="12"/>
        <v>4.0995658492097765E-4</v>
      </c>
      <c r="AA70" s="541">
        <f t="shared" si="39"/>
        <v>4.0995658492097765E-4</v>
      </c>
      <c r="AB70" s="360">
        <f t="shared" si="60"/>
        <v>2.9800286708251997</v>
      </c>
      <c r="AC70" s="360">
        <f t="shared" si="61"/>
        <v>5.3283425273641237E-2</v>
      </c>
      <c r="AD70" s="360">
        <f t="shared" si="62"/>
        <v>0.2277811632021875</v>
      </c>
      <c r="AE70" s="360">
        <f t="shared" si="63"/>
        <v>0.6042329999999998</v>
      </c>
      <c r="AF70" s="360">
        <f t="shared" si="64"/>
        <v>0</v>
      </c>
      <c r="AG70" s="360">
        <f t="shared" si="65"/>
        <v>0.89252623039049872</v>
      </c>
      <c r="AH70" s="360">
        <f t="shared" si="66"/>
        <v>0.65558939907042724</v>
      </c>
      <c r="AI70" s="360">
        <f t="shared" si="67"/>
        <v>1.0744936504338098E-3</v>
      </c>
      <c r="AJ70" s="360">
        <f t="shared" si="68"/>
        <v>0.11955999999999999</v>
      </c>
      <c r="AK70" s="360">
        <f t="shared" si="69"/>
        <v>0.12066042342219896</v>
      </c>
      <c r="AL70" s="360">
        <f t="shared" si="70"/>
        <v>0.11955999999999999</v>
      </c>
      <c r="AM70" s="360">
        <f t="shared" si="71"/>
        <v>1.5371999999999997</v>
      </c>
      <c r="AN70" s="360">
        <f t="shared" si="72"/>
        <v>3.7241473356454918E-2</v>
      </c>
      <c r="AO70" s="360">
        <f t="shared" si="73"/>
        <v>7.3499999999999998E-4</v>
      </c>
      <c r="AP70" s="360">
        <f t="shared" si="74"/>
        <v>0.32999999999999996</v>
      </c>
      <c r="AQ70" s="360">
        <f t="shared" si="75"/>
        <v>1.2539999999999998</v>
      </c>
      <c r="AR70" s="360">
        <f t="shared" si="76"/>
        <v>1.0559999999999998</v>
      </c>
      <c r="AS70" s="360">
        <f t="shared" si="48"/>
        <v>0.33073499999999995</v>
      </c>
      <c r="AT70" s="360">
        <f t="shared" si="41"/>
        <v>3.3861960966347495</v>
      </c>
      <c r="AU70">
        <f t="shared" si="77"/>
        <v>61</v>
      </c>
      <c r="AV70" s="542">
        <f t="shared" si="42"/>
        <v>0.94740804237677689</v>
      </c>
      <c r="AW70" s="551">
        <f t="shared" si="78"/>
        <v>95.353911519524928</v>
      </c>
      <c r="AX70" s="551">
        <f t="shared" si="79"/>
        <v>23.861584090043557</v>
      </c>
      <c r="AY70" s="9"/>
      <c r="AZ70" s="4">
        <f t="shared" si="43"/>
        <v>94.740804237677693</v>
      </c>
      <c r="BA70" s="360">
        <f t="shared" si="80"/>
        <v>0.34784727620244954</v>
      </c>
      <c r="BB70" s="360">
        <f t="shared" si="44"/>
        <v>2.5503866538126974</v>
      </c>
      <c r="BC70" s="360">
        <f t="shared" si="45"/>
        <v>1.9070782303904985</v>
      </c>
      <c r="BD70" s="360">
        <f t="shared" si="46"/>
        <v>0.62793642342219891</v>
      </c>
      <c r="BE70" s="360">
        <f t="shared" si="47"/>
        <v>3.7241473356454918E-2</v>
      </c>
      <c r="BK70" s="18"/>
      <c r="BL70" s="19"/>
    </row>
    <row r="71" spans="1:64" x14ac:dyDescent="0.2">
      <c r="A71" s="14" t="s">
        <v>59</v>
      </c>
      <c r="B71" s="15" t="s">
        <v>7</v>
      </c>
      <c r="C71" s="17" t="s">
        <v>76</v>
      </c>
      <c r="G71">
        <v>62</v>
      </c>
      <c r="H71" s="548">
        <f t="shared" si="0"/>
        <v>21</v>
      </c>
      <c r="I71" s="4">
        <f t="shared" si="49"/>
        <v>1</v>
      </c>
      <c r="J71" s="360">
        <f t="shared" si="81"/>
        <v>3.1</v>
      </c>
      <c r="K71" s="4">
        <f t="shared" si="50"/>
        <v>3.28042328042328</v>
      </c>
      <c r="L71" s="4"/>
      <c r="M71" s="360">
        <f t="shared" si="51"/>
        <v>0.95386054838809509</v>
      </c>
      <c r="N71" s="4">
        <f t="shared" si="52"/>
        <v>0.30711130122935409</v>
      </c>
      <c r="O71" s="4">
        <f t="shared" si="35"/>
        <v>3.2535556506146772</v>
      </c>
      <c r="P71" s="4">
        <f t="shared" si="36"/>
        <v>2.946444349385323</v>
      </c>
      <c r="Q71" s="4">
        <f t="shared" si="53"/>
        <v>0</v>
      </c>
      <c r="R71" s="4">
        <f t="shared" si="54"/>
        <v>3.1012674472348505</v>
      </c>
      <c r="S71" s="360">
        <f t="shared" si="55"/>
        <v>4.8089298896392831E-2</v>
      </c>
      <c r="T71" s="360">
        <f t="shared" si="56"/>
        <v>0.3</v>
      </c>
      <c r="U71" s="360">
        <f t="shared" si="57"/>
        <v>0.34943362032135944</v>
      </c>
      <c r="V71" s="4">
        <f t="shared" si="37"/>
        <v>8.8655396217971916E-2</v>
      </c>
      <c r="W71" s="360">
        <f t="shared" si="58"/>
        <v>1.5719558557131181E-5</v>
      </c>
      <c r="X71" s="360">
        <f t="shared" si="38"/>
        <v>1.5719558557131181E-5</v>
      </c>
      <c r="Y71" s="4">
        <f t="shared" si="59"/>
        <v>0.65060572144001827</v>
      </c>
      <c r="Z71" s="360">
        <f t="shared" si="12"/>
        <v>4.2328780477048669E-4</v>
      </c>
      <c r="AA71" s="541">
        <f t="shared" si="39"/>
        <v>4.2328780477048669E-4</v>
      </c>
      <c r="AB71" s="360">
        <f t="shared" si="60"/>
        <v>3.0288771852589957</v>
      </c>
      <c r="AC71" s="360">
        <f t="shared" si="61"/>
        <v>5.504458202029474E-2</v>
      </c>
      <c r="AD71" s="360">
        <f t="shared" si="62"/>
        <v>0.23151528063173157</v>
      </c>
      <c r="AE71" s="360">
        <f t="shared" si="63"/>
        <v>0.6042329999999998</v>
      </c>
      <c r="AF71" s="360">
        <f t="shared" si="64"/>
        <v>0</v>
      </c>
      <c r="AG71" s="360">
        <f t="shared" si="65"/>
        <v>0.89830881167774634</v>
      </c>
      <c r="AH71" s="360">
        <f t="shared" si="66"/>
        <v>0.66615521907143371</v>
      </c>
      <c r="AI71" s="360">
        <f t="shared" si="67"/>
        <v>1.1094069397402746E-3</v>
      </c>
      <c r="AJ71" s="360">
        <f t="shared" si="68"/>
        <v>0.12152</v>
      </c>
      <c r="AK71" s="360">
        <f t="shared" si="69"/>
        <v>0.12265662216130646</v>
      </c>
      <c r="AL71" s="360">
        <f t="shared" si="70"/>
        <v>0.12152</v>
      </c>
      <c r="AM71" s="360">
        <f t="shared" si="71"/>
        <v>1.5624000000000002</v>
      </c>
      <c r="AN71" s="360">
        <f t="shared" si="72"/>
        <v>3.8471439117114266E-2</v>
      </c>
      <c r="AO71" s="360">
        <f t="shared" si="73"/>
        <v>7.3499999999999998E-4</v>
      </c>
      <c r="AP71" s="360">
        <f t="shared" si="74"/>
        <v>0.32999999999999996</v>
      </c>
      <c r="AQ71" s="360">
        <f t="shared" si="75"/>
        <v>1.2539999999999998</v>
      </c>
      <c r="AR71" s="360">
        <f t="shared" si="76"/>
        <v>1.0559999999999998</v>
      </c>
      <c r="AS71" s="360">
        <f t="shared" si="48"/>
        <v>0.33073499999999995</v>
      </c>
      <c r="AT71" s="360">
        <f t="shared" si="41"/>
        <v>3.4239645006408543</v>
      </c>
      <c r="AU71">
        <f t="shared" si="77"/>
        <v>62</v>
      </c>
      <c r="AV71" s="542">
        <f t="shared" si="42"/>
        <v>0.94766497984683717</v>
      </c>
      <c r="AW71" s="551">
        <f t="shared" si="78"/>
        <v>96.474640583887322</v>
      </c>
      <c r="AX71" s="551">
        <f t="shared" si="79"/>
        <v>24.253447642129647</v>
      </c>
      <c r="AY71" s="9"/>
      <c r="AZ71" s="4">
        <f t="shared" si="43"/>
        <v>94.766497984683724</v>
      </c>
      <c r="BA71" s="360">
        <f t="shared" si="80"/>
        <v>0.34943362032135944</v>
      </c>
      <c r="BB71" s="360">
        <f t="shared" si="44"/>
        <v>2.5833654338390533</v>
      </c>
      <c r="BC71" s="360">
        <f t="shared" si="45"/>
        <v>1.9294928116777466</v>
      </c>
      <c r="BD71" s="360">
        <f t="shared" si="46"/>
        <v>0.63824862216130651</v>
      </c>
      <c r="BE71" s="360">
        <f t="shared" si="47"/>
        <v>3.8471439117114266E-2</v>
      </c>
      <c r="BK71" s="18"/>
      <c r="BL71" s="19"/>
    </row>
    <row r="72" spans="1:64" x14ac:dyDescent="0.2">
      <c r="A72" s="32" t="s">
        <v>88</v>
      </c>
      <c r="B72" s="450">
        <f>(Qgd_Q3+Qgs_Q3/2)*(RdsonDRT+Rgate3)/(VCC-Vsp_Q3)*1000000000</f>
        <v>2.4482225656877898</v>
      </c>
      <c r="C72" s="21" t="s">
        <v>75</v>
      </c>
      <c r="D72" s="114" t="s">
        <v>508</v>
      </c>
      <c r="G72">
        <v>63</v>
      </c>
      <c r="H72" s="548">
        <f t="shared" si="0"/>
        <v>21</v>
      </c>
      <c r="I72" s="4">
        <f t="shared" si="49"/>
        <v>1</v>
      </c>
      <c r="J72" s="360">
        <f t="shared" si="81"/>
        <v>3.15</v>
      </c>
      <c r="K72" s="4">
        <f t="shared" si="50"/>
        <v>3.333333333333333</v>
      </c>
      <c r="L72" s="4"/>
      <c r="M72" s="360">
        <f t="shared" si="51"/>
        <v>0.95388441105012367</v>
      </c>
      <c r="N72" s="4">
        <f t="shared" si="52"/>
        <v>0.30694410540241257</v>
      </c>
      <c r="O72" s="4">
        <f t="shared" si="35"/>
        <v>3.3034720527012063</v>
      </c>
      <c r="P72" s="4">
        <f t="shared" si="36"/>
        <v>2.9965279472987936</v>
      </c>
      <c r="Q72" s="4">
        <f t="shared" si="53"/>
        <v>0</v>
      </c>
      <c r="R72" s="4">
        <f t="shared" si="54"/>
        <v>3.1512459795537131</v>
      </c>
      <c r="S72" s="360">
        <f t="shared" si="55"/>
        <v>4.9651756118267207E-2</v>
      </c>
      <c r="T72" s="360">
        <f t="shared" si="56"/>
        <v>0.3</v>
      </c>
      <c r="U72" s="360">
        <f t="shared" si="57"/>
        <v>0.35104616078720002</v>
      </c>
      <c r="V72" s="4">
        <f t="shared" si="37"/>
        <v>8.8607130940125886E-2</v>
      </c>
      <c r="W72" s="360">
        <f t="shared" si="58"/>
        <v>1.5702447306881229E-5</v>
      </c>
      <c r="X72" s="360">
        <f t="shared" si="38"/>
        <v>1.5702447306881229E-5</v>
      </c>
      <c r="Y72" s="4">
        <f t="shared" si="59"/>
        <v>0.66092786150618399</v>
      </c>
      <c r="Z72" s="360">
        <f t="shared" si="12"/>
        <v>4.3682563811513756E-4</v>
      </c>
      <c r="AA72" s="541">
        <f t="shared" si="39"/>
        <v>4.3682563811513756E-4</v>
      </c>
      <c r="AB72" s="360">
        <f t="shared" si="60"/>
        <v>3.0777276079106706</v>
      </c>
      <c r="AC72" s="360">
        <f t="shared" si="61"/>
        <v>5.683444337097323E-2</v>
      </c>
      <c r="AD72" s="360">
        <f t="shared" si="62"/>
        <v>0.23524939806127559</v>
      </c>
      <c r="AE72" s="360">
        <f t="shared" si="63"/>
        <v>0.6042329999999998</v>
      </c>
      <c r="AF72" s="360">
        <f t="shared" si="64"/>
        <v>0</v>
      </c>
      <c r="AG72" s="360">
        <f t="shared" si="65"/>
        <v>0.90412744964345793</v>
      </c>
      <c r="AH72" s="360">
        <f t="shared" si="66"/>
        <v>0.67671559399640224</v>
      </c>
      <c r="AI72" s="360">
        <f t="shared" si="67"/>
        <v>1.1448599878947589E-3</v>
      </c>
      <c r="AJ72" s="360">
        <f t="shared" si="68"/>
        <v>0.12347999999999999</v>
      </c>
      <c r="AK72" s="360">
        <f t="shared" si="69"/>
        <v>0.12465340212638465</v>
      </c>
      <c r="AL72" s="360">
        <f t="shared" si="70"/>
        <v>0.12347999999999999</v>
      </c>
      <c r="AM72" s="360">
        <f t="shared" si="71"/>
        <v>1.5875999999999997</v>
      </c>
      <c r="AN72" s="360">
        <f t="shared" si="72"/>
        <v>3.972140489461376E-2</v>
      </c>
      <c r="AO72" s="360">
        <f t="shared" si="73"/>
        <v>7.3499999999999998E-4</v>
      </c>
      <c r="AP72" s="360">
        <f t="shared" si="74"/>
        <v>0.32999999999999996</v>
      </c>
      <c r="AQ72" s="360">
        <f t="shared" si="75"/>
        <v>1.2539999999999998</v>
      </c>
      <c r="AR72" s="360">
        <f t="shared" si="76"/>
        <v>1.0559999999999998</v>
      </c>
      <c r="AS72" s="360">
        <f t="shared" si="48"/>
        <v>0.33073499999999995</v>
      </c>
      <c r="AT72" s="360">
        <f t="shared" si="41"/>
        <v>3.4618159455370776</v>
      </c>
      <c r="AU72">
        <f t="shared" si="77"/>
        <v>63</v>
      </c>
      <c r="AV72" s="542">
        <f t="shared" si="42"/>
        <v>0.94791270903019098</v>
      </c>
      <c r="AW72" s="551">
        <f t="shared" si="78"/>
        <v>97.597172482172894</v>
      </c>
      <c r="AX72" s="551">
        <f t="shared" si="79"/>
        <v>24.645333280802614</v>
      </c>
      <c r="AY72" s="9"/>
      <c r="AZ72" s="4">
        <f t="shared" si="43"/>
        <v>94.791270903019097</v>
      </c>
      <c r="BA72" s="360">
        <f t="shared" si="80"/>
        <v>0.35104616078720002</v>
      </c>
      <c r="BB72" s="360">
        <f t="shared" si="44"/>
        <v>2.6163808517698421</v>
      </c>
      <c r="BC72" s="360">
        <f t="shared" si="45"/>
        <v>1.9519434496434578</v>
      </c>
      <c r="BD72" s="360">
        <f t="shared" si="46"/>
        <v>0.64856140212638458</v>
      </c>
      <c r="BE72" s="360">
        <f t="shared" si="47"/>
        <v>3.972140489461376E-2</v>
      </c>
      <c r="BK72" s="18"/>
      <c r="BL72" s="19"/>
    </row>
    <row r="73" spans="1:64" x14ac:dyDescent="0.2">
      <c r="A73" s="33" t="s">
        <v>89</v>
      </c>
      <c r="B73" s="450">
        <f>(Qgd_Q3+Qgs_Q3/2)*(RdsonDRT2+Rgate3)/(Vsp_Q3)*1000000000</f>
        <v>1.1080797481636935</v>
      </c>
      <c r="C73" s="21" t="s">
        <v>75</v>
      </c>
      <c r="D73" s="114" t="s">
        <v>509</v>
      </c>
      <c r="G73">
        <v>64</v>
      </c>
      <c r="H73" s="548">
        <f t="shared" ref="H73:H109" si="82">Vin</f>
        <v>21</v>
      </c>
      <c r="I73" s="4">
        <f t="shared" ref="I73:I109" si="83">MODE</f>
        <v>1</v>
      </c>
      <c r="J73" s="360">
        <f t="shared" si="81"/>
        <v>3.2</v>
      </c>
      <c r="K73" s="4">
        <f t="shared" ref="K73:K104" si="84">Vout2*J73/(Vin*Efficiency)</f>
        <v>3.3862433862433861</v>
      </c>
      <c r="L73" s="4"/>
      <c r="M73" s="360">
        <f t="shared" ref="M73:M109" si="85">(Vout2+(Rdson4+Rs+Rdcr)*J73)/(Vin+(Rs+Rdson2-Rdson1)*J73)</f>
        <v>0.95390827365534059</v>
      </c>
      <c r="N73" s="4">
        <f t="shared" ref="N73:N104" si="86">(Vin-(Rdson3+Rdcr2)*J73-Vout2)*M73/(Fsw*Lo_2)</f>
        <v>0.30677690080755765</v>
      </c>
      <c r="O73" s="4">
        <f t="shared" si="35"/>
        <v>3.353388450403779</v>
      </c>
      <c r="P73" s="4">
        <f t="shared" si="36"/>
        <v>3.0466115495962214</v>
      </c>
      <c r="Q73" s="4">
        <f t="shared" ref="Q73:Q104" si="87">IF(MIN(Vin, -P73/(Coss_Q3+Coss_Q4)*0.00000002)&lt;0, 0, MIN(Vin, -P73/(Coss_Q3+Coss_Q4)*0.00000002))</f>
        <v>0</v>
      </c>
      <c r="R73" s="4">
        <f t="shared" ref="R73:R109" si="88">SQRT(J73^2+(N73^2)/12)</f>
        <v>3.2012251829946443</v>
      </c>
      <c r="S73" s="360">
        <f t="shared" ref="S73:S104" si="89">R73^2*Rdcr2</f>
        <v>5.1239213361195468E-2</v>
      </c>
      <c r="T73" s="360">
        <f t="shared" ref="T73:T109" si="90">Core_Loss_Ch1</f>
        <v>0.3</v>
      </c>
      <c r="U73" s="360">
        <f t="shared" ref="U73:U104" si="91">(T73+S73*(1+Ltc*(Ta-25)))/(1-S73*Ltc*ThetaCa)</f>
        <v>0.35268491717884365</v>
      </c>
      <c r="V73" s="4">
        <f t="shared" si="37"/>
        <v>8.8558863131201274E-2</v>
      </c>
      <c r="W73" s="360">
        <f t="shared" ref="W73:W104" si="92">Cout2_ESR*V73^2</f>
        <v>1.5685344478181684E-5</v>
      </c>
      <c r="X73" s="360">
        <f t="shared" si="38"/>
        <v>1.5685344478181684E-5</v>
      </c>
      <c r="Y73" s="4">
        <f t="shared" ref="Y73:Y109" si="93">SQRT(M73*(1-M73))*SQRT(J73^2+(N73^2)/12)</f>
        <v>0.67124493220977244</v>
      </c>
      <c r="Z73" s="360">
        <f t="shared" si="12"/>
        <v>4.5056975901730203E-4</v>
      </c>
      <c r="AA73" s="541">
        <f t="shared" si="39"/>
        <v>4.5056975901730203E-4</v>
      </c>
      <c r="AB73" s="360">
        <f t="shared" ref="AB73:AB109" si="94">SQRT(M73)*SQRT(J73^2+(N73^2)/12)</f>
        <v>3.1265799065699769</v>
      </c>
      <c r="AC73" s="360">
        <f t="shared" ref="AC73:AC104" si="95">Rdson3*AB73^2</f>
        <v>5.865301147300276E-2</v>
      </c>
      <c r="AD73" s="360">
        <f t="shared" ref="AD73:AD109" si="96">(Vin*J73/2)*Fsw*(Tr_Ch2+Tf_Ch2)</f>
        <v>0.23898351549081967</v>
      </c>
      <c r="AE73" s="360">
        <f t="shared" ref="AE73:AE109" si="97">(0.5*Coss_Q3*(Vin-Q73)^2-0.5*Coss_Q4*(Vin-Q73)^2+(Qoss_Q4*(Vin-Q73)/Vin)*Vin)*Fsw</f>
        <v>0.6042329999999998</v>
      </c>
      <c r="AF73" s="360">
        <f t="shared" ref="AF73:AF109" si="98">IF(J73&gt;N73/2,0,ABS(J73-N73/2)*Vsd_Q3*Deadtime*Fsw)</f>
        <v>0</v>
      </c>
      <c r="AG73" s="360">
        <f t="shared" ref="AG73:AG104" si="99">(AF73+AE73+AD73+AC73*(1+RdsonTopTc*Ta-RdsonTopTc*25))/(1-AC73*RdsonTopTc*ThetaJA_Q2)</f>
        <v>0.90998225329431259</v>
      </c>
      <c r="AH73" s="360">
        <f t="shared" ref="AH73:AH109" si="100">SQRT((1-M73))*SQRT(J73^2+(N73^2)/12)</f>
        <v>0.6872705144788096</v>
      </c>
      <c r="AI73" s="360">
        <f t="shared" ref="AI73:AI104" si="101">Rdson4*AH73^2</f>
        <v>1.180851900179919E-3</v>
      </c>
      <c r="AJ73" s="360">
        <f t="shared" ref="AJ73:AJ109" si="102">IF(J73&lt;N73/2,Deadtime*Fsw*IF(VfdSky_Q4&gt;0,0,Vsd_Q4)*(J73+N73/2),2*Deadtime*Fsw*IF(VfdSky_Q4&gt;0,0,Vsd_Q4)*J73)</f>
        <v>0.12544</v>
      </c>
      <c r="AK73" s="360">
        <f t="shared" ref="AK73:AK104" si="103">(AJ73+AI73*(1+RdsonBotTc*Ta-RdsonBotTc*25))/(1-AI73*RdsonBotTc*ThetaJA_Q3)</f>
        <v>0.1266507630590234</v>
      </c>
      <c r="AL73" s="360">
        <f t="shared" ref="AL73:AL109" si="104">2*Deadtime*Fsw*IF(VfdSky_Q4&gt;0,VfdSky_Q4,Vsd_Q4)*J73</f>
        <v>0.12544</v>
      </c>
      <c r="AM73" s="360">
        <f t="shared" ref="AM73:AM109" si="105">IF(QrrSky_Q4&gt;0,QrrSky_Q4,Qrr_Q4*J73/Iout2)*Fsw*Vin</f>
        <v>1.6127999999999998</v>
      </c>
      <c r="AN73" s="360">
        <f t="shared" ref="AN73:AN109" si="106">CHOOSE(SENSING_TYPE, Rs_Ch2*R73^2, 0)</f>
        <v>4.099137068895637E-2</v>
      </c>
      <c r="AO73" s="360">
        <f t="shared" ref="AO73:AO109" si="107">Iq*Vin</f>
        <v>7.3499999999999998E-4</v>
      </c>
      <c r="AP73" s="360">
        <f t="shared" ref="AP73:AP109" si="108">IF(Ext_VCC=1,  (Qg_Q3+Qg_Q4)*Fsw*VCC, (Qg_Q3+Qg_Q4)*Fsw*Vin)</f>
        <v>0.32999999999999996</v>
      </c>
      <c r="AQ73" s="360">
        <f t="shared" ref="AQ73:AQ109" si="109">(Vin-VCC)*Fsw*(Qg_Q3+Qg_Q4)+(RdsonDRT+RdsonDRT2)*Fsw*Qg_Q3*VCC/(RdsonDRT+2*Rgate3+RdsonDRT2)+(RdsonDRB+RdsonDRB2)*Fsw*Qg_Q4*VCC/(RdsonDRB+2*Rgate4+RdsonDRB2)</f>
        <v>1.2539999999999998</v>
      </c>
      <c r="AR73" s="360">
        <f t="shared" ref="AR73:AR109" si="110">(Qg_Q3+Qg_Q4)*Fsw*(Vin-VCC)</f>
        <v>1.0559999999999998</v>
      </c>
      <c r="AS73" s="360">
        <f t="shared" si="48"/>
        <v>0.33073499999999995</v>
      </c>
      <c r="AT73" s="360">
        <f t="shared" si="41"/>
        <v>3.4997505593246312</v>
      </c>
      <c r="AU73">
        <f t="shared" ref="AU73:AU109" si="111">Vout2*J73</f>
        <v>64</v>
      </c>
      <c r="AV73" s="542">
        <f t="shared" si="42"/>
        <v>0.94815165196427298</v>
      </c>
      <c r="AW73" s="551">
        <f t="shared" ref="AW73:AW109" si="112">ThetaJA_Q1*BC73</f>
        <v>98.721512664715632</v>
      </c>
      <c r="AX73" s="551">
        <f t="shared" ref="AX73:AX109" si="113">ThetaJA_Q2*BD73</f>
        <v>25.037240996242883</v>
      </c>
      <c r="AY73" s="9"/>
      <c r="AZ73" s="4">
        <f t="shared" si="43"/>
        <v>94.815165196427301</v>
      </c>
      <c r="BA73" s="360">
        <f t="shared" ref="BA73:BA109" si="114">U73</f>
        <v>0.35268491717884365</v>
      </c>
      <c r="BB73" s="360">
        <f t="shared" si="44"/>
        <v>2.6494330163533357</v>
      </c>
      <c r="BC73" s="360">
        <f t="shared" si="45"/>
        <v>1.9744302532943125</v>
      </c>
      <c r="BD73" s="360">
        <f t="shared" si="46"/>
        <v>0.65887476305902326</v>
      </c>
      <c r="BE73" s="360">
        <f t="shared" si="47"/>
        <v>4.099137068895637E-2</v>
      </c>
      <c r="BK73" s="18"/>
      <c r="BL73" s="19"/>
    </row>
    <row r="74" spans="1:64" x14ac:dyDescent="0.2">
      <c r="A74" s="14" t="s">
        <v>114</v>
      </c>
      <c r="B74" s="15" t="s">
        <v>7</v>
      </c>
      <c r="C74" s="17" t="s">
        <v>76</v>
      </c>
      <c r="G74">
        <v>65</v>
      </c>
      <c r="H74" s="548">
        <f t="shared" si="82"/>
        <v>21</v>
      </c>
      <c r="I74" s="4">
        <f t="shared" si="83"/>
        <v>1</v>
      </c>
      <c r="J74" s="360">
        <f t="shared" ref="J74:J109" si="115">Iout2*G74/100</f>
        <v>3.25</v>
      </c>
      <c r="K74" s="4">
        <f t="shared" si="84"/>
        <v>3.4391534391534386</v>
      </c>
      <c r="L74" s="4"/>
      <c r="M74" s="360">
        <f t="shared" si="85"/>
        <v>0.95393213620374606</v>
      </c>
      <c r="N74" s="4">
        <f t="shared" si="86"/>
        <v>0.30660968744482064</v>
      </c>
      <c r="O74" s="4">
        <f t="shared" ref="O74:O109" si="116">J74+N74/2</f>
        <v>3.4033048437224105</v>
      </c>
      <c r="P74" s="4">
        <f t="shared" ref="P74:P109" si="117">J74-N74/2</f>
        <v>3.0966951562775895</v>
      </c>
      <c r="Q74" s="4">
        <f t="shared" si="87"/>
        <v>0</v>
      </c>
      <c r="R74" s="4">
        <f t="shared" si="88"/>
        <v>3.2512050266072503</v>
      </c>
      <c r="S74" s="360">
        <f t="shared" si="89"/>
        <v>5.2851670625181257E-2</v>
      </c>
      <c r="T74" s="360">
        <f t="shared" si="90"/>
        <v>0.3</v>
      </c>
      <c r="U74" s="360">
        <f t="shared" si="91"/>
        <v>0.3543499094009992</v>
      </c>
      <c r="V74" s="4">
        <f t="shared" ref="V74:V109" si="118">N74/SQRT(12)</f>
        <v>8.8510592791207113E-2</v>
      </c>
      <c r="W74" s="360">
        <f t="shared" si="92"/>
        <v>1.5668250072501772E-5</v>
      </c>
      <c r="X74" s="360">
        <f t="shared" ref="X74:X109" si="119">W74</f>
        <v>1.5668250072501772E-5</v>
      </c>
      <c r="Y74" s="4">
        <f t="shared" si="93"/>
        <v>0.68155692462679929</v>
      </c>
      <c r="Z74" s="360">
        <f t="shared" ref="Z74:Z109" si="120">RCinEsr*Y74^2</f>
        <v>4.6451984150674058E-4</v>
      </c>
      <c r="AA74" s="541">
        <f t="shared" ref="AA74:AA109" si="121">Z74</f>
        <v>4.6451984150674058E-4</v>
      </c>
      <c r="AB74" s="360">
        <f t="shared" si="94"/>
        <v>3.1754340510051828</v>
      </c>
      <c r="AC74" s="360">
        <f t="shared" si="95"/>
        <v>6.0500288473699121E-2</v>
      </c>
      <c r="AD74" s="360">
        <f t="shared" si="96"/>
        <v>0.24271763292036372</v>
      </c>
      <c r="AE74" s="360">
        <f t="shared" si="97"/>
        <v>0.6042329999999998</v>
      </c>
      <c r="AF74" s="360">
        <f t="shared" si="98"/>
        <v>0</v>
      </c>
      <c r="AG74" s="360">
        <f t="shared" si="99"/>
        <v>0.91587333272098082</v>
      </c>
      <c r="AH74" s="360">
        <f t="shared" si="100"/>
        <v>0.69781997159229048</v>
      </c>
      <c r="AI74" s="360">
        <f t="shared" si="101"/>
        <v>1.2173817818826626E-3</v>
      </c>
      <c r="AJ74" s="360">
        <f t="shared" si="102"/>
        <v>0.12739999999999999</v>
      </c>
      <c r="AK74" s="360">
        <f t="shared" si="103"/>
        <v>0.12864870469975551</v>
      </c>
      <c r="AL74" s="360">
        <f t="shared" si="104"/>
        <v>0.12739999999999999</v>
      </c>
      <c r="AM74" s="360">
        <f t="shared" si="105"/>
        <v>1.6379999999999999</v>
      </c>
      <c r="AN74" s="360">
        <f t="shared" si="106"/>
        <v>4.2281336500145004E-2</v>
      </c>
      <c r="AO74" s="360">
        <f t="shared" si="107"/>
        <v>7.3499999999999998E-4</v>
      </c>
      <c r="AP74" s="360">
        <f t="shared" si="108"/>
        <v>0.32999999999999996</v>
      </c>
      <c r="AQ74" s="360">
        <f t="shared" si="109"/>
        <v>1.2539999999999998</v>
      </c>
      <c r="AR74" s="360">
        <f t="shared" si="110"/>
        <v>1.0559999999999998</v>
      </c>
      <c r="AS74" s="360">
        <f t="shared" si="48"/>
        <v>0.33073499999999995</v>
      </c>
      <c r="AT74" s="360">
        <f t="shared" ref="AT74:AT109" si="122">SUM(U74,X74,AA74,AG74,AK74,AL74,AM74,AS74,AN74)</f>
        <v>3.5377684714134592</v>
      </c>
      <c r="AU74">
        <f t="shared" si="111"/>
        <v>65</v>
      </c>
      <c r="AV74" s="542">
        <f t="shared" ref="AV74:AV109" si="123">AU74/(AU74+AT74)</f>
        <v>0.94838220516489335</v>
      </c>
      <c r="AW74" s="551">
        <f t="shared" si="112"/>
        <v>99.847666636049041</v>
      </c>
      <c r="AX74" s="551">
        <f t="shared" si="113"/>
        <v>25.429170778590709</v>
      </c>
      <c r="AY74" s="9"/>
      <c r="AZ74" s="4">
        <f t="shared" ref="AZ74:AZ109" si="124">AV74*100</f>
        <v>94.838220516489329</v>
      </c>
      <c r="BA74" s="360">
        <f t="shared" si="114"/>
        <v>0.3543499094009992</v>
      </c>
      <c r="BB74" s="360">
        <f t="shared" ref="BB74:BB109" si="125">AG74+AK74+AM74</f>
        <v>2.6825220374207364</v>
      </c>
      <c r="BC74" s="360">
        <f t="shared" ref="BC74:BC109" si="126">AG74+AM74*0.66</f>
        <v>1.996953332720981</v>
      </c>
      <c r="BD74" s="360">
        <f t="shared" ref="BD74:BD109" si="127">AK74+AM74*0.33</f>
        <v>0.66918870469975555</v>
      </c>
      <c r="BE74" s="360">
        <f t="shared" ref="BE74:BE109" si="128">AN74</f>
        <v>4.2281336500145004E-2</v>
      </c>
      <c r="BK74" s="18"/>
      <c r="BL74" s="19"/>
    </row>
    <row r="75" spans="1:64" x14ac:dyDescent="0.2">
      <c r="A75" s="34" t="s">
        <v>115</v>
      </c>
      <c r="B75" s="603">
        <f>AS9</f>
        <v>0.33073499999999995</v>
      </c>
      <c r="C75" s="78" t="s">
        <v>116</v>
      </c>
      <c r="G75">
        <v>66</v>
      </c>
      <c r="H75" s="548">
        <f t="shared" si="82"/>
        <v>21</v>
      </c>
      <c r="I75" s="4">
        <f t="shared" si="83"/>
        <v>1</v>
      </c>
      <c r="J75" s="360">
        <f t="shared" si="115"/>
        <v>3.3</v>
      </c>
      <c r="K75" s="4">
        <f t="shared" si="84"/>
        <v>3.4920634920634916</v>
      </c>
      <c r="L75" s="4"/>
      <c r="M75" s="360">
        <f t="shared" si="85"/>
        <v>0.95395599869534053</v>
      </c>
      <c r="N75" s="4">
        <f t="shared" si="86"/>
        <v>0.30644246531423303</v>
      </c>
      <c r="O75" s="4">
        <f t="shared" si="116"/>
        <v>3.4532212326571163</v>
      </c>
      <c r="P75" s="4">
        <f t="shared" si="117"/>
        <v>3.1467787673428833</v>
      </c>
      <c r="Q75" s="4">
        <f t="shared" si="87"/>
        <v>0</v>
      </c>
      <c r="R75" s="4">
        <f t="shared" si="88"/>
        <v>3.3011854813151067</v>
      </c>
      <c r="S75" s="360">
        <f t="shared" si="89"/>
        <v>5.4489127910228259E-2</v>
      </c>
      <c r="T75" s="360">
        <f t="shared" si="90"/>
        <v>0.3</v>
      </c>
      <c r="U75" s="360">
        <f t="shared" si="91"/>
        <v>0.35604115768481975</v>
      </c>
      <c r="V75" s="4">
        <f t="shared" si="118"/>
        <v>8.8462319920152507E-2</v>
      </c>
      <c r="W75" s="360">
        <f t="shared" si="92"/>
        <v>1.5651164091310821E-5</v>
      </c>
      <c r="X75" s="360">
        <f t="shared" si="119"/>
        <v>1.5651164091310821E-5</v>
      </c>
      <c r="Y75" s="4">
        <f t="shared" si="93"/>
        <v>0.69186383023005582</v>
      </c>
      <c r="Z75" s="360">
        <f t="shared" si="120"/>
        <v>4.786755595806035E-4</v>
      </c>
      <c r="AA75" s="541">
        <f t="shared" si="121"/>
        <v>4.786755595806035E-4</v>
      </c>
      <c r="AB75" s="360">
        <f t="shared" si="94"/>
        <v>3.2242900128133622</v>
      </c>
      <c r="AC75" s="360">
        <f t="shared" si="95"/>
        <v>6.2376276520367951E-2</v>
      </c>
      <c r="AD75" s="360">
        <f t="shared" si="96"/>
        <v>0.24645175034990779</v>
      </c>
      <c r="AE75" s="360">
        <f t="shared" si="97"/>
        <v>0.6042329999999998</v>
      </c>
      <c r="AF75" s="360">
        <f t="shared" si="98"/>
        <v>0</v>
      </c>
      <c r="AG75" s="360">
        <f t="shared" si="99"/>
        <v>0.92180079910460555</v>
      </c>
      <c r="AH75" s="360">
        <f t="shared" si="100"/>
        <v>0.70836395681715858</v>
      </c>
      <c r="AI75" s="360">
        <f t="shared" si="101"/>
        <v>1.2544487382941533E-3</v>
      </c>
      <c r="AJ75" s="360">
        <f t="shared" si="102"/>
        <v>0.12935999999999998</v>
      </c>
      <c r="AK75" s="360">
        <f t="shared" si="103"/>
        <v>0.13064722678805532</v>
      </c>
      <c r="AL75" s="360">
        <f t="shared" si="104"/>
        <v>0.12935999999999998</v>
      </c>
      <c r="AM75" s="360">
        <f t="shared" si="105"/>
        <v>1.6631999999999998</v>
      </c>
      <c r="AN75" s="360">
        <f t="shared" si="106"/>
        <v>4.3591302328182605E-2</v>
      </c>
      <c r="AO75" s="360">
        <f t="shared" si="107"/>
        <v>7.3499999999999998E-4</v>
      </c>
      <c r="AP75" s="360">
        <f t="shared" si="108"/>
        <v>0.32999999999999996</v>
      </c>
      <c r="AQ75" s="360">
        <f t="shared" si="109"/>
        <v>1.2539999999999998</v>
      </c>
      <c r="AR75" s="360">
        <f t="shared" si="110"/>
        <v>1.0559999999999998</v>
      </c>
      <c r="AS75" s="360">
        <f t="shared" ref="AS75:AS109" si="129">SUM(AO75:AP75)</f>
        <v>0.33073499999999995</v>
      </c>
      <c r="AT75" s="360">
        <f t="shared" si="122"/>
        <v>3.5758698126293349</v>
      </c>
      <c r="AU75">
        <f t="shared" si="111"/>
        <v>66</v>
      </c>
      <c r="AV75" s="542">
        <f t="shared" si="123"/>
        <v>0.94860474152519692</v>
      </c>
      <c r="AW75" s="551">
        <f t="shared" si="112"/>
        <v>100.97563995523026</v>
      </c>
      <c r="AX75" s="551">
        <f t="shared" si="113"/>
        <v>25.821122617946102</v>
      </c>
      <c r="AY75" s="9"/>
      <c r="AZ75" s="4">
        <f t="shared" si="124"/>
        <v>94.860474152519686</v>
      </c>
      <c r="BA75" s="360">
        <f t="shared" si="114"/>
        <v>0.35604115768481975</v>
      </c>
      <c r="BB75" s="360">
        <f t="shared" si="125"/>
        <v>2.7156480258926607</v>
      </c>
      <c r="BC75" s="360">
        <f t="shared" si="126"/>
        <v>2.0195127991046053</v>
      </c>
      <c r="BD75" s="360">
        <f t="shared" si="127"/>
        <v>0.6795032267880553</v>
      </c>
      <c r="BE75" s="360">
        <f t="shared" si="128"/>
        <v>4.3591302328182605E-2</v>
      </c>
      <c r="BK75" s="18"/>
      <c r="BL75" s="19"/>
    </row>
    <row r="76" spans="1:64" x14ac:dyDescent="0.2">
      <c r="A76" s="34" t="s">
        <v>119</v>
      </c>
      <c r="B76" s="604">
        <f>B75*B62</f>
        <v>9.9220499999999987</v>
      </c>
      <c r="C76" s="440" t="s">
        <v>465</v>
      </c>
      <c r="G76">
        <v>67</v>
      </c>
      <c r="H76" s="548">
        <f t="shared" si="82"/>
        <v>21</v>
      </c>
      <c r="I76" s="4">
        <f t="shared" si="83"/>
        <v>1</v>
      </c>
      <c r="J76" s="360">
        <f t="shared" si="115"/>
        <v>3.35</v>
      </c>
      <c r="K76" s="4">
        <f t="shared" si="84"/>
        <v>3.5449735449735447</v>
      </c>
      <c r="L76" s="4"/>
      <c r="M76" s="360">
        <f t="shared" si="85"/>
        <v>0.95397986113012412</v>
      </c>
      <c r="N76" s="4">
        <f t="shared" si="86"/>
        <v>0.30627523441582599</v>
      </c>
      <c r="O76" s="4">
        <f t="shared" si="116"/>
        <v>3.5031376172079129</v>
      </c>
      <c r="P76" s="4">
        <f t="shared" si="117"/>
        <v>3.1968623827920872</v>
      </c>
      <c r="Q76" s="4">
        <f t="shared" si="87"/>
        <v>0</v>
      </c>
      <c r="R76" s="4">
        <f t="shared" si="88"/>
        <v>3.3511665197760672</v>
      </c>
      <c r="S76" s="360">
        <f t="shared" si="89"/>
        <v>5.6151585216340186E-2</v>
      </c>
      <c r="T76" s="360">
        <f t="shared" si="90"/>
        <v>0.3</v>
      </c>
      <c r="U76" s="360">
        <f t="shared" si="91"/>
        <v>0.35775868258852056</v>
      </c>
      <c r="V76" s="4">
        <f t="shared" si="118"/>
        <v>8.8414044518046436E-2</v>
      </c>
      <c r="W76" s="360">
        <f t="shared" si="92"/>
        <v>1.5634086536078196E-5</v>
      </c>
      <c r="X76" s="360">
        <f t="shared" si="119"/>
        <v>1.5634086536078196E-5</v>
      </c>
      <c r="Y76" s="4">
        <f t="shared" si="93"/>
        <v>0.70216564085936106</v>
      </c>
      <c r="Z76" s="360">
        <f t="shared" si="120"/>
        <v>4.9303658720343722E-4</v>
      </c>
      <c r="AA76" s="541">
        <f t="shared" si="121"/>
        <v>4.9303658720343722E-4</v>
      </c>
      <c r="AB76" s="360">
        <f t="shared" si="94"/>
        <v>3.273147765284071</v>
      </c>
      <c r="AC76" s="360">
        <f t="shared" si="95"/>
        <v>6.4280977760304642E-2</v>
      </c>
      <c r="AD76" s="360">
        <f t="shared" si="96"/>
        <v>0.2501858677794519</v>
      </c>
      <c r="AE76" s="360">
        <f t="shared" si="97"/>
        <v>0.6042329999999998</v>
      </c>
      <c r="AF76" s="360">
        <f t="shared" si="98"/>
        <v>0</v>
      </c>
      <c r="AG76" s="360">
        <f t="shared" si="99"/>
        <v>0.92776476472336888</v>
      </c>
      <c r="AH76" s="360">
        <f t="shared" si="100"/>
        <v>0.71890246200992325</v>
      </c>
      <c r="AI76" s="360">
        <f t="shared" si="101"/>
        <v>1.2920518747098228E-3</v>
      </c>
      <c r="AJ76" s="360">
        <f t="shared" si="102"/>
        <v>0.13131999999999999</v>
      </c>
      <c r="AK76" s="360">
        <f t="shared" si="103"/>
        <v>0.1326463290623375</v>
      </c>
      <c r="AL76" s="360">
        <f t="shared" si="104"/>
        <v>0.13131999999999999</v>
      </c>
      <c r="AM76" s="360">
        <f t="shared" si="105"/>
        <v>1.6883999999999997</v>
      </c>
      <c r="AN76" s="360">
        <f t="shared" si="106"/>
        <v>4.4921268173072154E-2</v>
      </c>
      <c r="AO76" s="360">
        <f t="shared" si="107"/>
        <v>7.3499999999999998E-4</v>
      </c>
      <c r="AP76" s="360">
        <f t="shared" si="108"/>
        <v>0.32999999999999996</v>
      </c>
      <c r="AQ76" s="360">
        <f t="shared" si="109"/>
        <v>1.2539999999999998</v>
      </c>
      <c r="AR76" s="360">
        <f t="shared" si="110"/>
        <v>1.0559999999999998</v>
      </c>
      <c r="AS76" s="360">
        <f t="shared" si="129"/>
        <v>0.33073499999999995</v>
      </c>
      <c r="AT76" s="360">
        <f t="shared" si="122"/>
        <v>3.6140547152210378</v>
      </c>
      <c r="AU76">
        <f t="shared" si="111"/>
        <v>67</v>
      </c>
      <c r="AV76" s="542">
        <f t="shared" si="123"/>
        <v>0.94881961204754295</v>
      </c>
      <c r="AW76" s="551">
        <f t="shared" si="112"/>
        <v>102.10543823616844</v>
      </c>
      <c r="AX76" s="551">
        <f t="shared" si="113"/>
        <v>26.213096504368821</v>
      </c>
      <c r="AY76" s="9"/>
      <c r="AZ76" s="4">
        <f t="shared" si="124"/>
        <v>94.88196120475429</v>
      </c>
      <c r="BA76" s="360">
        <f t="shared" si="114"/>
        <v>0.35775868258852056</v>
      </c>
      <c r="BB76" s="360">
        <f t="shared" si="125"/>
        <v>2.7488110937857062</v>
      </c>
      <c r="BC76" s="360">
        <f t="shared" si="126"/>
        <v>2.0421087647233689</v>
      </c>
      <c r="BD76" s="360">
        <f t="shared" si="127"/>
        <v>0.68981832906233742</v>
      </c>
      <c r="BE76" s="360">
        <f t="shared" si="128"/>
        <v>4.4921268173072154E-2</v>
      </c>
      <c r="BK76" s="18"/>
      <c r="BL76" s="19"/>
    </row>
    <row r="77" spans="1:64" x14ac:dyDescent="0.2">
      <c r="A77" s="34" t="s">
        <v>210</v>
      </c>
      <c r="B77" s="604">
        <f>(Qg_Q3+Qg_Q4)*Fsw+Iq</f>
        <v>6.6034999999999983E-2</v>
      </c>
      <c r="C77" s="21" t="s">
        <v>1</v>
      </c>
      <c r="G77">
        <v>68</v>
      </c>
      <c r="H77" s="548">
        <f t="shared" si="82"/>
        <v>21</v>
      </c>
      <c r="I77" s="4">
        <f t="shared" si="83"/>
        <v>1</v>
      </c>
      <c r="J77" s="360">
        <f t="shared" si="115"/>
        <v>3.4</v>
      </c>
      <c r="K77" s="4">
        <f t="shared" si="84"/>
        <v>3.5978835978835977</v>
      </c>
      <c r="L77" s="4"/>
      <c r="M77" s="360">
        <f t="shared" si="85"/>
        <v>0.95400372350809692</v>
      </c>
      <c r="N77" s="4">
        <f t="shared" si="86"/>
        <v>0.30610799474963085</v>
      </c>
      <c r="O77" s="4">
        <f t="shared" si="116"/>
        <v>3.5530539973748154</v>
      </c>
      <c r="P77" s="4">
        <f t="shared" si="117"/>
        <v>3.2469460026251844</v>
      </c>
      <c r="Q77" s="4">
        <f t="shared" si="87"/>
        <v>0</v>
      </c>
      <c r="R77" s="4">
        <f t="shared" si="88"/>
        <v>3.4011481162548827</v>
      </c>
      <c r="S77" s="360">
        <f t="shared" si="89"/>
        <v>5.783904254352068E-2</v>
      </c>
      <c r="T77" s="360">
        <f t="shared" si="90"/>
        <v>0.3</v>
      </c>
      <c r="U77" s="360">
        <f t="shared" si="91"/>
        <v>0.35950250499800723</v>
      </c>
      <c r="V77" s="4">
        <f t="shared" si="118"/>
        <v>8.8365766584897962E-2</v>
      </c>
      <c r="W77" s="360">
        <f t="shared" si="92"/>
        <v>1.5617017408273339E-5</v>
      </c>
      <c r="X77" s="360">
        <f t="shared" si="119"/>
        <v>1.5617017408273339E-5</v>
      </c>
      <c r="Y77" s="4">
        <f t="shared" si="93"/>
        <v>0.71246234869442737</v>
      </c>
      <c r="Z77" s="360">
        <f t="shared" si="120"/>
        <v>5.0760259830717985E-4</v>
      </c>
      <c r="AA77" s="541">
        <f t="shared" si="121"/>
        <v>5.0760259830717985E-4</v>
      </c>
      <c r="AB77" s="360">
        <f t="shared" si="94"/>
        <v>3.3220072832750369</v>
      </c>
      <c r="AC77" s="360">
        <f t="shared" si="95"/>
        <v>6.6214394340794347E-2</v>
      </c>
      <c r="AD77" s="360">
        <f t="shared" si="96"/>
        <v>0.25391998520899584</v>
      </c>
      <c r="AE77" s="360">
        <f t="shared" si="97"/>
        <v>0.6042329999999998</v>
      </c>
      <c r="AF77" s="360">
        <f t="shared" si="98"/>
        <v>0</v>
      </c>
      <c r="AG77" s="360">
        <f t="shared" si="99"/>
        <v>0.93376534295914038</v>
      </c>
      <c r="AH77" s="360">
        <f t="shared" si="100"/>
        <v>0.72943547937548558</v>
      </c>
      <c r="AI77" s="360">
        <f t="shared" si="101"/>
        <v>1.3301902964293611E-3</v>
      </c>
      <c r="AJ77" s="360">
        <f t="shared" si="102"/>
        <v>0.13327999999999998</v>
      </c>
      <c r="AK77" s="360">
        <f t="shared" si="103"/>
        <v>0.13464601125995551</v>
      </c>
      <c r="AL77" s="360">
        <f t="shared" si="104"/>
        <v>0.13327999999999998</v>
      </c>
      <c r="AM77" s="360">
        <f t="shared" si="105"/>
        <v>1.7135999999999998</v>
      </c>
      <c r="AN77" s="360">
        <f t="shared" si="106"/>
        <v>4.6271234034816547E-2</v>
      </c>
      <c r="AO77" s="360">
        <f t="shared" si="107"/>
        <v>7.3499999999999998E-4</v>
      </c>
      <c r="AP77" s="360">
        <f t="shared" si="108"/>
        <v>0.32999999999999996</v>
      </c>
      <c r="AQ77" s="360">
        <f t="shared" si="109"/>
        <v>1.2539999999999998</v>
      </c>
      <c r="AR77" s="360">
        <f t="shared" si="110"/>
        <v>1.0559999999999998</v>
      </c>
      <c r="AS77" s="360">
        <f t="shared" si="129"/>
        <v>0.33073499999999995</v>
      </c>
      <c r="AT77" s="360">
        <f t="shared" si="122"/>
        <v>3.6523233128676345</v>
      </c>
      <c r="AU77">
        <f t="shared" si="111"/>
        <v>68</v>
      </c>
      <c r="AV77" s="542">
        <f t="shared" si="123"/>
        <v>0.94902714742521499</v>
      </c>
      <c r="AW77" s="551">
        <f t="shared" si="112"/>
        <v>103.23706714795702</v>
      </c>
      <c r="AX77" s="551">
        <f t="shared" si="113"/>
        <v>26.605092427878308</v>
      </c>
      <c r="AY77" s="9"/>
      <c r="AZ77" s="4">
        <f t="shared" si="124"/>
        <v>94.902714742521496</v>
      </c>
      <c r="BA77" s="360">
        <f t="shared" si="114"/>
        <v>0.35950250499800723</v>
      </c>
      <c r="BB77" s="360">
        <f t="shared" si="125"/>
        <v>2.7820113542190956</v>
      </c>
      <c r="BC77" s="360">
        <f t="shared" si="126"/>
        <v>2.0647413429591404</v>
      </c>
      <c r="BD77" s="360">
        <f t="shared" si="127"/>
        <v>0.70013401125995545</v>
      </c>
      <c r="BE77" s="360">
        <f t="shared" si="128"/>
        <v>4.6271234034816547E-2</v>
      </c>
      <c r="BK77" s="18"/>
      <c r="BL77" s="19"/>
    </row>
    <row r="78" spans="1:64" x14ac:dyDescent="0.2">
      <c r="A78" s="34" t="s">
        <v>211</v>
      </c>
      <c r="B78" s="605">
        <f>Qrr_Q4*Fsw</f>
        <v>0.12</v>
      </c>
      <c r="C78" s="21" t="s">
        <v>1</v>
      </c>
      <c r="G78">
        <v>69</v>
      </c>
      <c r="H78" s="548">
        <f t="shared" si="82"/>
        <v>21</v>
      </c>
      <c r="I78" s="4">
        <f t="shared" si="83"/>
        <v>1</v>
      </c>
      <c r="J78" s="360">
        <f t="shared" si="115"/>
        <v>3.45</v>
      </c>
      <c r="K78" s="4">
        <f t="shared" si="84"/>
        <v>3.6507936507936503</v>
      </c>
      <c r="L78" s="4"/>
      <c r="M78" s="360">
        <f t="shared" si="85"/>
        <v>0.95402758582925928</v>
      </c>
      <c r="N78" s="4">
        <f t="shared" si="86"/>
        <v>0.30594074631568008</v>
      </c>
      <c r="O78" s="4">
        <f t="shared" si="116"/>
        <v>3.6029703731578402</v>
      </c>
      <c r="P78" s="4">
        <f t="shared" si="117"/>
        <v>3.2970296268421602</v>
      </c>
      <c r="Q78" s="4">
        <f t="shared" si="87"/>
        <v>0</v>
      </c>
      <c r="R78" s="4">
        <f t="shared" si="88"/>
        <v>3.4511302465068865</v>
      </c>
      <c r="S78" s="360">
        <f t="shared" si="89"/>
        <v>5.9551499891773413E-2</v>
      </c>
      <c r="T78" s="360">
        <f t="shared" si="90"/>
        <v>0.3</v>
      </c>
      <c r="U78" s="360">
        <f t="shared" si="91"/>
        <v>0.36127264612751442</v>
      </c>
      <c r="V78" s="4">
        <f t="shared" si="118"/>
        <v>8.8317486120716451E-2</v>
      </c>
      <c r="W78" s="360">
        <f t="shared" si="92"/>
        <v>1.5599956709365884E-5</v>
      </c>
      <c r="X78" s="360">
        <f t="shared" si="119"/>
        <v>1.5599956709365884E-5</v>
      </c>
      <c r="Y78" s="4">
        <f t="shared" si="93"/>
        <v>0.72275394623008538</v>
      </c>
      <c r="Z78" s="360">
        <f t="shared" si="120"/>
        <v>5.2237326679116112E-4</v>
      </c>
      <c r="AA78" s="541">
        <f t="shared" si="121"/>
        <v>5.2237326679116112E-4</v>
      </c>
      <c r="AB78" s="360">
        <f t="shared" si="94"/>
        <v>3.3708685430986471</v>
      </c>
      <c r="AC78" s="360">
        <f t="shared" si="95"/>
        <v>6.8176528409111967E-2</v>
      </c>
      <c r="AD78" s="360">
        <f t="shared" si="96"/>
        <v>0.25765410263853994</v>
      </c>
      <c r="AE78" s="360">
        <f t="shared" si="97"/>
        <v>0.6042329999999998</v>
      </c>
      <c r="AF78" s="360">
        <f t="shared" si="98"/>
        <v>0</v>
      </c>
      <c r="AG78" s="360">
        <f t="shared" si="99"/>
        <v>0.93980264830421445</v>
      </c>
      <c r="AH78" s="360">
        <f t="shared" si="100"/>
        <v>0.73996300144175164</v>
      </c>
      <c r="AI78" s="360">
        <f t="shared" si="101"/>
        <v>1.3688631087567145E-3</v>
      </c>
      <c r="AJ78" s="360">
        <f t="shared" si="102"/>
        <v>0.13524</v>
      </c>
      <c r="AK78" s="360">
        <f t="shared" si="103"/>
        <v>0.13664627311720057</v>
      </c>
      <c r="AL78" s="360">
        <f t="shared" si="104"/>
        <v>0.13524</v>
      </c>
      <c r="AM78" s="360">
        <f t="shared" si="105"/>
        <v>1.7387999999999999</v>
      </c>
      <c r="AN78" s="360">
        <f t="shared" si="106"/>
        <v>4.7641199913418732E-2</v>
      </c>
      <c r="AO78" s="360">
        <f t="shared" si="107"/>
        <v>7.3499999999999998E-4</v>
      </c>
      <c r="AP78" s="360">
        <f t="shared" si="108"/>
        <v>0.32999999999999996</v>
      </c>
      <c r="AQ78" s="360">
        <f t="shared" si="109"/>
        <v>1.2539999999999998</v>
      </c>
      <c r="AR78" s="360">
        <f t="shared" si="110"/>
        <v>1.0559999999999998</v>
      </c>
      <c r="AS78" s="360">
        <f t="shared" si="129"/>
        <v>0.33073499999999995</v>
      </c>
      <c r="AT78" s="360">
        <f t="shared" si="122"/>
        <v>3.6906757406858484</v>
      </c>
      <c r="AU78">
        <f t="shared" si="111"/>
        <v>69</v>
      </c>
      <c r="AV78" s="542">
        <f t="shared" si="123"/>
        <v>0.9492276594889304</v>
      </c>
      <c r="AW78" s="551">
        <f t="shared" si="112"/>
        <v>104.37053241521073</v>
      </c>
      <c r="AX78" s="551">
        <f t="shared" si="113"/>
        <v>26.99711037845362</v>
      </c>
      <c r="AY78" s="9"/>
      <c r="AZ78" s="4">
        <f t="shared" si="124"/>
        <v>94.922765948893044</v>
      </c>
      <c r="BA78" s="360">
        <f t="shared" si="114"/>
        <v>0.36127264612751442</v>
      </c>
      <c r="BB78" s="360">
        <f t="shared" si="125"/>
        <v>2.8152489214214151</v>
      </c>
      <c r="BC78" s="360">
        <f t="shared" si="126"/>
        <v>2.0874106483042145</v>
      </c>
      <c r="BD78" s="360">
        <f t="shared" si="127"/>
        <v>0.71045027311720055</v>
      </c>
      <c r="BE78" s="360">
        <f t="shared" si="128"/>
        <v>4.7641199913418732E-2</v>
      </c>
      <c r="BK78" s="18"/>
      <c r="BL78" s="19"/>
    </row>
    <row r="79" spans="1:64" x14ac:dyDescent="0.2">
      <c r="A79" s="34" t="s">
        <v>212</v>
      </c>
      <c r="B79" s="605">
        <f>Deadtime*Fsw*(Iripple2_Vinnom/2)*(Vsd_Q4)/Vin</f>
        <v>1.483402050956761E-4</v>
      </c>
      <c r="C79" s="21"/>
      <c r="G79">
        <v>70</v>
      </c>
      <c r="H79" s="548">
        <f t="shared" si="82"/>
        <v>21</v>
      </c>
      <c r="I79" s="4">
        <f t="shared" si="83"/>
        <v>1</v>
      </c>
      <c r="J79" s="360">
        <f t="shared" si="115"/>
        <v>3.5</v>
      </c>
      <c r="K79" s="4">
        <f t="shared" si="84"/>
        <v>3.7037037037037033</v>
      </c>
      <c r="L79" s="4"/>
      <c r="M79" s="360">
        <f t="shared" si="85"/>
        <v>0.95405144809361131</v>
      </c>
      <c r="N79" s="4">
        <f t="shared" si="86"/>
        <v>0.30577348911400271</v>
      </c>
      <c r="O79" s="4">
        <f t="shared" si="116"/>
        <v>3.6528867445570015</v>
      </c>
      <c r="P79" s="4">
        <f t="shared" si="117"/>
        <v>3.3471132554429985</v>
      </c>
      <c r="Q79" s="4">
        <f t="shared" si="87"/>
        <v>0</v>
      </c>
      <c r="R79" s="4">
        <f t="shared" si="88"/>
        <v>3.5011128876716349</v>
      </c>
      <c r="S79" s="360">
        <f t="shared" si="89"/>
        <v>6.1288957261102069E-2</v>
      </c>
      <c r="T79" s="360">
        <f t="shared" si="90"/>
        <v>0.3</v>
      </c>
      <c r="U79" s="360">
        <f t="shared" si="91"/>
        <v>0.36306912752025522</v>
      </c>
      <c r="V79" s="4">
        <f t="shared" si="118"/>
        <v>8.8269203125510287E-2</v>
      </c>
      <c r="W79" s="360">
        <f t="shared" si="92"/>
        <v>1.5582904440825189E-5</v>
      </c>
      <c r="X79" s="360">
        <f t="shared" si="119"/>
        <v>1.5582904440825189E-5</v>
      </c>
      <c r="Y79" s="4">
        <f t="shared" si="93"/>
        <v>0.73304042625363197</v>
      </c>
      <c r="Z79" s="360">
        <f t="shared" si="120"/>
        <v>5.3734826652210646E-4</v>
      </c>
      <c r="AA79" s="541">
        <f t="shared" si="121"/>
        <v>5.3734826652210646E-4</v>
      </c>
      <c r="AB79" s="360">
        <f t="shared" si="94"/>
        <v>3.4197315224181528</v>
      </c>
      <c r="AC79" s="360">
        <f t="shared" si="95"/>
        <v>7.016738211252227E-2</v>
      </c>
      <c r="AD79" s="360">
        <f t="shared" si="96"/>
        <v>0.26138822006808399</v>
      </c>
      <c r="AE79" s="360">
        <f t="shared" si="97"/>
        <v>0.6042329999999998</v>
      </c>
      <c r="AF79" s="360">
        <f t="shared" si="98"/>
        <v>0</v>
      </c>
      <c r="AG79" s="360">
        <f t="shared" si="99"/>
        <v>0.94587679636812994</v>
      </c>
      <c r="AH79" s="360">
        <f t="shared" si="100"/>
        <v>0.75048502103642101</v>
      </c>
      <c r="AI79" s="360">
        <f t="shared" si="101"/>
        <v>1.4080694170000932E-3</v>
      </c>
      <c r="AJ79" s="360">
        <f t="shared" si="102"/>
        <v>0.13719999999999999</v>
      </c>
      <c r="AK79" s="360">
        <f t="shared" si="103"/>
        <v>0.1386471143692998</v>
      </c>
      <c r="AL79" s="360">
        <f t="shared" si="104"/>
        <v>0.13719999999999999</v>
      </c>
      <c r="AM79" s="360">
        <f t="shared" si="105"/>
        <v>1.7639999999999998</v>
      </c>
      <c r="AN79" s="360">
        <f t="shared" si="106"/>
        <v>4.9031165808881651E-2</v>
      </c>
      <c r="AO79" s="360">
        <f t="shared" si="107"/>
        <v>7.3499999999999998E-4</v>
      </c>
      <c r="AP79" s="360">
        <f t="shared" si="108"/>
        <v>0.32999999999999996</v>
      </c>
      <c r="AQ79" s="360">
        <f t="shared" si="109"/>
        <v>1.2539999999999998</v>
      </c>
      <c r="AR79" s="360">
        <f t="shared" si="110"/>
        <v>1.0559999999999998</v>
      </c>
      <c r="AS79" s="360">
        <f t="shared" si="129"/>
        <v>0.33073499999999995</v>
      </c>
      <c r="AT79" s="360">
        <f t="shared" si="122"/>
        <v>3.7291121352375289</v>
      </c>
      <c r="AU79">
        <f t="shared" si="111"/>
        <v>70</v>
      </c>
      <c r="AV79" s="542">
        <f t="shared" si="123"/>
        <v>0.94942144253144656</v>
      </c>
      <c r="AW79" s="551">
        <f t="shared" si="112"/>
        <v>105.50583981840649</v>
      </c>
      <c r="AX79" s="551">
        <f t="shared" si="113"/>
        <v>27.389150346033389</v>
      </c>
      <c r="AY79" s="9"/>
      <c r="AZ79" s="4">
        <f t="shared" si="124"/>
        <v>94.942144253144662</v>
      </c>
      <c r="BA79" s="360">
        <f t="shared" si="114"/>
        <v>0.36306912752025522</v>
      </c>
      <c r="BB79" s="360">
        <f t="shared" si="125"/>
        <v>2.8485239107374296</v>
      </c>
      <c r="BC79" s="360">
        <f t="shared" si="126"/>
        <v>2.1101167963681298</v>
      </c>
      <c r="BD79" s="360">
        <f t="shared" si="127"/>
        <v>0.72076711436929974</v>
      </c>
      <c r="BE79" s="360">
        <f t="shared" si="128"/>
        <v>4.9031165808881651E-2</v>
      </c>
      <c r="BK79" s="18"/>
      <c r="BL79" s="19"/>
    </row>
    <row r="80" spans="1:64" x14ac:dyDescent="0.2">
      <c r="A80" s="34" t="s">
        <v>45</v>
      </c>
      <c r="B80" s="605">
        <f>SUM(B77:B79)</f>
        <v>0.18618334020509567</v>
      </c>
      <c r="C80" s="21" t="s">
        <v>1</v>
      </c>
      <c r="G80">
        <v>71</v>
      </c>
      <c r="H80" s="548">
        <f t="shared" si="82"/>
        <v>21</v>
      </c>
      <c r="I80" s="4">
        <f t="shared" si="83"/>
        <v>1</v>
      </c>
      <c r="J80" s="360">
        <f t="shared" si="115"/>
        <v>3.55</v>
      </c>
      <c r="K80" s="4">
        <f t="shared" si="84"/>
        <v>3.7566137566137563</v>
      </c>
      <c r="L80" s="4"/>
      <c r="M80" s="360">
        <f t="shared" si="85"/>
        <v>0.95407531030115322</v>
      </c>
      <c r="N80" s="4">
        <f t="shared" si="86"/>
        <v>0.30560622314463121</v>
      </c>
      <c r="O80" s="4">
        <f t="shared" si="116"/>
        <v>3.7028031115723152</v>
      </c>
      <c r="P80" s="4">
        <f t="shared" si="117"/>
        <v>3.3971968884276844</v>
      </c>
      <c r="Q80" s="4">
        <f t="shared" si="87"/>
        <v>0</v>
      </c>
      <c r="R80" s="4">
        <f t="shared" si="88"/>
        <v>3.5510960181755236</v>
      </c>
      <c r="S80" s="360">
        <f t="shared" si="89"/>
        <v>6.305141465151029E-2</v>
      </c>
      <c r="T80" s="360">
        <f t="shared" si="90"/>
        <v>0.3</v>
      </c>
      <c r="U80" s="360">
        <f t="shared" si="91"/>
        <v>0.36489197104908005</v>
      </c>
      <c r="V80" s="4">
        <f t="shared" si="118"/>
        <v>8.8220917599288837E-2</v>
      </c>
      <c r="W80" s="360">
        <f t="shared" si="92"/>
        <v>1.5565860604121022E-5</v>
      </c>
      <c r="X80" s="360">
        <f t="shared" si="119"/>
        <v>1.5565860604121022E-5</v>
      </c>
      <c r="Y80" s="4">
        <f t="shared" si="93"/>
        <v>0.74332178182408559</v>
      </c>
      <c r="Z80" s="360">
        <f t="shared" si="120"/>
        <v>5.5252727133413347E-4</v>
      </c>
      <c r="AA80" s="541">
        <f t="shared" si="121"/>
        <v>5.5252727133413347E-4</v>
      </c>
      <c r="AB80" s="360">
        <f t="shared" si="94"/>
        <v>3.4685962001526311</v>
      </c>
      <c r="AC80" s="360">
        <f t="shared" si="95"/>
        <v>7.218695759827963E-2</v>
      </c>
      <c r="AD80" s="360">
        <f t="shared" si="96"/>
        <v>0.26512233749762809</v>
      </c>
      <c r="AE80" s="360">
        <f t="shared" si="97"/>
        <v>0.6042329999999998</v>
      </c>
      <c r="AF80" s="360">
        <f t="shared" si="98"/>
        <v>0</v>
      </c>
      <c r="AG80" s="360">
        <f t="shared" si="99"/>
        <v>0.95198790388457988</v>
      </c>
      <c r="AH80" s="360">
        <f t="shared" si="100"/>
        <v>0.76100153126573022</v>
      </c>
      <c r="AI80" s="360">
        <f t="shared" si="101"/>
        <v>1.4478083264719654E-3</v>
      </c>
      <c r="AJ80" s="360">
        <f t="shared" si="102"/>
        <v>0.13915999999999998</v>
      </c>
      <c r="AK80" s="360">
        <f t="shared" si="103"/>
        <v>0.14064853475041547</v>
      </c>
      <c r="AL80" s="360">
        <f t="shared" si="104"/>
        <v>0.13915999999999998</v>
      </c>
      <c r="AM80" s="360">
        <f t="shared" si="105"/>
        <v>1.7891999999999997</v>
      </c>
      <c r="AN80" s="360">
        <f t="shared" si="106"/>
        <v>5.0441131721208239E-2</v>
      </c>
      <c r="AO80" s="360">
        <f t="shared" si="107"/>
        <v>7.3499999999999998E-4</v>
      </c>
      <c r="AP80" s="360">
        <f t="shared" si="108"/>
        <v>0.32999999999999996</v>
      </c>
      <c r="AQ80" s="360">
        <f t="shared" si="109"/>
        <v>1.2539999999999998</v>
      </c>
      <c r="AR80" s="360">
        <f t="shared" si="110"/>
        <v>1.0559999999999998</v>
      </c>
      <c r="AS80" s="360">
        <f t="shared" si="129"/>
        <v>0.33073499999999995</v>
      </c>
      <c r="AT80" s="360">
        <f t="shared" si="122"/>
        <v>3.7676326345372213</v>
      </c>
      <c r="AU80">
        <f t="shared" si="111"/>
        <v>71</v>
      </c>
      <c r="AV80" s="542">
        <f t="shared" si="123"/>
        <v>0.94960877452208048</v>
      </c>
      <c r="AW80" s="551">
        <f t="shared" si="112"/>
        <v>106.642995194229</v>
      </c>
      <c r="AX80" s="551">
        <f t="shared" si="113"/>
        <v>27.781212320515788</v>
      </c>
      <c r="AY80" s="9"/>
      <c r="AZ80" s="4">
        <f t="shared" si="124"/>
        <v>94.960877452208052</v>
      </c>
      <c r="BA80" s="360">
        <f t="shared" si="114"/>
        <v>0.36489197104908005</v>
      </c>
      <c r="BB80" s="360">
        <f t="shared" si="125"/>
        <v>2.8818364386349948</v>
      </c>
      <c r="BC80" s="360">
        <f t="shared" si="126"/>
        <v>2.1328599038845799</v>
      </c>
      <c r="BD80" s="360">
        <f t="shared" si="127"/>
        <v>0.73108453475041546</v>
      </c>
      <c r="BE80" s="360">
        <f t="shared" si="128"/>
        <v>5.0441131721208239E-2</v>
      </c>
      <c r="BK80" s="18"/>
      <c r="BL80" s="19"/>
    </row>
    <row r="81" spans="1:64" x14ac:dyDescent="0.2">
      <c r="A81" s="2"/>
      <c r="G81">
        <v>72</v>
      </c>
      <c r="H81" s="548">
        <f t="shared" si="82"/>
        <v>21</v>
      </c>
      <c r="I81" s="4">
        <f t="shared" si="83"/>
        <v>1</v>
      </c>
      <c r="J81" s="360">
        <f t="shared" si="115"/>
        <v>3.6</v>
      </c>
      <c r="K81" s="4">
        <f t="shared" si="84"/>
        <v>3.8095238095238093</v>
      </c>
      <c r="L81" s="4"/>
      <c r="M81" s="360">
        <f t="shared" si="85"/>
        <v>0.95409917245188514</v>
      </c>
      <c r="N81" s="4">
        <f t="shared" si="86"/>
        <v>0.30543894840759683</v>
      </c>
      <c r="O81" s="4">
        <f t="shared" si="116"/>
        <v>3.7527194742037984</v>
      </c>
      <c r="P81" s="4">
        <f t="shared" si="117"/>
        <v>3.4472805257962018</v>
      </c>
      <c r="Q81" s="4">
        <f t="shared" si="87"/>
        <v>0</v>
      </c>
      <c r="R81" s="4">
        <f t="shared" si="88"/>
        <v>3.6010796176425153</v>
      </c>
      <c r="S81" s="360">
        <f t="shared" si="89"/>
        <v>6.4838872063001818E-2</v>
      </c>
      <c r="T81" s="360">
        <f t="shared" si="90"/>
        <v>0.3</v>
      </c>
      <c r="U81" s="360">
        <f t="shared" si="91"/>
        <v>0.36674119891714746</v>
      </c>
      <c r="V81" s="4">
        <f t="shared" si="118"/>
        <v>8.8172629542061134E-2</v>
      </c>
      <c r="W81" s="360">
        <f t="shared" si="92"/>
        <v>1.5548825200723103E-5</v>
      </c>
      <c r="X81" s="360">
        <f t="shared" si="119"/>
        <v>1.5548825200723103E-5</v>
      </c>
      <c r="Y81" s="4">
        <f t="shared" si="93"/>
        <v>0.75359800625317275</v>
      </c>
      <c r="Z81" s="360">
        <f t="shared" si="120"/>
        <v>5.6790995502875694E-4</v>
      </c>
      <c r="AA81" s="541">
        <f t="shared" si="121"/>
        <v>5.6790995502875694E-4</v>
      </c>
      <c r="AB81" s="360">
        <f t="shared" si="94"/>
        <v>3.5174625563898667</v>
      </c>
      <c r="AC81" s="360">
        <f t="shared" si="95"/>
        <v>7.4235257013628417E-2</v>
      </c>
      <c r="AD81" s="360">
        <f t="shared" si="96"/>
        <v>0.26885645492717219</v>
      </c>
      <c r="AE81" s="360">
        <f t="shared" si="97"/>
        <v>0.6042329999999998</v>
      </c>
      <c r="AF81" s="360">
        <f t="shared" si="98"/>
        <v>0</v>
      </c>
      <c r="AG81" s="360">
        <f t="shared" si="99"/>
        <v>0.95813608871840694</v>
      </c>
      <c r="AH81" s="360">
        <f t="shared" si="100"/>
        <v>0.77151252549496951</v>
      </c>
      <c r="AI81" s="360">
        <f t="shared" si="101"/>
        <v>1.488078942489065E-3</v>
      </c>
      <c r="AJ81" s="360">
        <f t="shared" si="102"/>
        <v>0.14112</v>
      </c>
      <c r="AK81" s="360">
        <f t="shared" si="103"/>
        <v>0.14265053399364322</v>
      </c>
      <c r="AL81" s="360">
        <f t="shared" si="104"/>
        <v>0.14112</v>
      </c>
      <c r="AM81" s="360">
        <f t="shared" si="105"/>
        <v>1.8143999999999998</v>
      </c>
      <c r="AN81" s="360">
        <f t="shared" si="106"/>
        <v>5.1871097650401453E-2</v>
      </c>
      <c r="AO81" s="360">
        <f t="shared" si="107"/>
        <v>7.3499999999999998E-4</v>
      </c>
      <c r="AP81" s="360">
        <f t="shared" si="108"/>
        <v>0.32999999999999996</v>
      </c>
      <c r="AQ81" s="360">
        <f t="shared" si="109"/>
        <v>1.2539999999999998</v>
      </c>
      <c r="AR81" s="360">
        <f t="shared" si="110"/>
        <v>1.0559999999999998</v>
      </c>
      <c r="AS81" s="360">
        <f t="shared" si="129"/>
        <v>0.33073499999999995</v>
      </c>
      <c r="AT81" s="360">
        <f t="shared" si="122"/>
        <v>3.8062373780598278</v>
      </c>
      <c r="AU81">
        <f t="shared" si="111"/>
        <v>72</v>
      </c>
      <c r="AV81" s="542">
        <f t="shared" si="123"/>
        <v>0.94978991822167058</v>
      </c>
      <c r="AW81" s="551">
        <f t="shared" si="112"/>
        <v>107.78200443592034</v>
      </c>
      <c r="AX81" s="551">
        <f t="shared" si="113"/>
        <v>28.17329629175844</v>
      </c>
      <c r="AY81" s="9"/>
      <c r="AZ81" s="4">
        <f t="shared" si="124"/>
        <v>94.97899182216706</v>
      </c>
      <c r="BA81" s="360">
        <f t="shared" si="114"/>
        <v>0.36674119891714746</v>
      </c>
      <c r="BB81" s="360">
        <f t="shared" si="125"/>
        <v>2.9151866227120502</v>
      </c>
      <c r="BC81" s="360">
        <f t="shared" si="126"/>
        <v>2.1556400887184068</v>
      </c>
      <c r="BD81" s="360">
        <f t="shared" si="127"/>
        <v>0.7414025339936432</v>
      </c>
      <c r="BE81" s="360">
        <f t="shared" si="128"/>
        <v>5.1871097650401453E-2</v>
      </c>
      <c r="BK81" s="18"/>
      <c r="BL81" s="19"/>
    </row>
    <row r="82" spans="1:64" x14ac:dyDescent="0.2">
      <c r="A82" s="2"/>
      <c r="G82">
        <v>73</v>
      </c>
      <c r="H82" s="548">
        <f t="shared" si="82"/>
        <v>21</v>
      </c>
      <c r="I82" s="4">
        <f t="shared" si="83"/>
        <v>1</v>
      </c>
      <c r="J82" s="360">
        <f t="shared" si="115"/>
        <v>3.65</v>
      </c>
      <c r="K82" s="4">
        <f t="shared" si="84"/>
        <v>3.8624338624338619</v>
      </c>
      <c r="L82" s="4"/>
      <c r="M82" s="360">
        <f t="shared" si="85"/>
        <v>0.95412303454580738</v>
      </c>
      <c r="N82" s="4">
        <f t="shared" si="86"/>
        <v>0.30527166490293089</v>
      </c>
      <c r="O82" s="4">
        <f t="shared" si="116"/>
        <v>3.8026358324514655</v>
      </c>
      <c r="P82" s="4">
        <f t="shared" si="117"/>
        <v>3.4973641675485343</v>
      </c>
      <c r="Q82" s="4">
        <f t="shared" si="87"/>
        <v>0</v>
      </c>
      <c r="R82" s="4">
        <f t="shared" si="88"/>
        <v>3.6510636668121865</v>
      </c>
      <c r="S82" s="360">
        <f t="shared" si="89"/>
        <v>6.6651329495580253E-2</v>
      </c>
      <c r="T82" s="360">
        <f t="shared" si="90"/>
        <v>0.3</v>
      </c>
      <c r="U82" s="360">
        <f t="shared" si="91"/>
        <v>0.36861683365860398</v>
      </c>
      <c r="V82" s="4">
        <f t="shared" si="118"/>
        <v>8.8124338953836201E-2</v>
      </c>
      <c r="W82" s="360">
        <f t="shared" si="92"/>
        <v>1.5531798232101224E-5</v>
      </c>
      <c r="X82" s="360">
        <f t="shared" si="119"/>
        <v>1.5531798232101224E-5</v>
      </c>
      <c r="Y82" s="4">
        <f t="shared" si="93"/>
        <v>0.76386909308786821</v>
      </c>
      <c r="Z82" s="360">
        <f t="shared" si="120"/>
        <v>5.8349599137488232E-4</v>
      </c>
      <c r="AA82" s="541">
        <f t="shared" si="121"/>
        <v>5.8349599137488232E-4</v>
      </c>
      <c r="AB82" s="360">
        <f t="shared" si="94"/>
        <v>3.5663305723063727</v>
      </c>
      <c r="AC82" s="360">
        <f t="shared" si="95"/>
        <v>7.6312282505802603E-2</v>
      </c>
      <c r="AD82" s="360">
        <f t="shared" si="96"/>
        <v>0.27259057235671613</v>
      </c>
      <c r="AE82" s="360">
        <f t="shared" si="97"/>
        <v>0.6042329999999998</v>
      </c>
      <c r="AF82" s="360">
        <f t="shared" si="98"/>
        <v>0</v>
      </c>
      <c r="AG82" s="360">
        <f t="shared" si="99"/>
        <v>0.96432146987268952</v>
      </c>
      <c r="AH82" s="360">
        <f t="shared" si="100"/>
        <v>0.78201799733059152</v>
      </c>
      <c r="AI82" s="360">
        <f t="shared" si="101"/>
        <v>1.5288803703723728E-3</v>
      </c>
      <c r="AJ82" s="360">
        <f t="shared" si="102"/>
        <v>0.14307999999999998</v>
      </c>
      <c r="AK82" s="360">
        <f t="shared" si="103"/>
        <v>0.14465311183101071</v>
      </c>
      <c r="AL82" s="360">
        <f t="shared" si="104"/>
        <v>0.14307999999999998</v>
      </c>
      <c r="AM82" s="360">
        <f t="shared" si="105"/>
        <v>1.8395999999999997</v>
      </c>
      <c r="AN82" s="360">
        <f t="shared" si="106"/>
        <v>5.3321063596464199E-2</v>
      </c>
      <c r="AO82" s="360">
        <f t="shared" si="107"/>
        <v>7.3499999999999998E-4</v>
      </c>
      <c r="AP82" s="360">
        <f t="shared" si="108"/>
        <v>0.32999999999999996</v>
      </c>
      <c r="AQ82" s="360">
        <f t="shared" si="109"/>
        <v>1.2539999999999998</v>
      </c>
      <c r="AR82" s="360">
        <f t="shared" si="110"/>
        <v>1.0559999999999998</v>
      </c>
      <c r="AS82" s="360">
        <f t="shared" si="129"/>
        <v>0.33073499999999995</v>
      </c>
      <c r="AT82" s="360">
        <f t="shared" si="122"/>
        <v>3.8449265067483744</v>
      </c>
      <c r="AU82">
        <f t="shared" si="111"/>
        <v>73</v>
      </c>
      <c r="AV82" s="542">
        <f t="shared" si="123"/>
        <v>0.94996512220737528</v>
      </c>
      <c r="AW82" s="551">
        <f t="shared" si="112"/>
        <v>108.92287349363447</v>
      </c>
      <c r="AX82" s="551">
        <f t="shared" si="113"/>
        <v>28.565402249578405</v>
      </c>
      <c r="AY82" s="9"/>
      <c r="AZ82" s="4">
        <f t="shared" si="124"/>
        <v>94.996512220737529</v>
      </c>
      <c r="BA82" s="360">
        <f t="shared" si="114"/>
        <v>0.36861683365860398</v>
      </c>
      <c r="BB82" s="360">
        <f t="shared" si="125"/>
        <v>2.9485745817037001</v>
      </c>
      <c r="BC82" s="360">
        <f t="shared" si="126"/>
        <v>2.1784574698726895</v>
      </c>
      <c r="BD82" s="360">
        <f t="shared" si="127"/>
        <v>0.75172111183101065</v>
      </c>
      <c r="BE82" s="360">
        <f t="shared" si="128"/>
        <v>5.3321063596464199E-2</v>
      </c>
      <c r="BK82" s="18"/>
      <c r="BL82" s="19"/>
    </row>
    <row r="83" spans="1:64" x14ac:dyDescent="0.2">
      <c r="A83" s="2"/>
      <c r="G83">
        <v>74</v>
      </c>
      <c r="H83" s="548">
        <f t="shared" si="82"/>
        <v>21</v>
      </c>
      <c r="I83" s="4">
        <f t="shared" si="83"/>
        <v>1</v>
      </c>
      <c r="J83" s="360">
        <f t="shared" si="115"/>
        <v>3.7</v>
      </c>
      <c r="K83" s="4">
        <f t="shared" si="84"/>
        <v>3.9153439153439149</v>
      </c>
      <c r="L83" s="4"/>
      <c r="M83" s="360">
        <f t="shared" si="85"/>
        <v>0.95414689658292007</v>
      </c>
      <c r="N83" s="4">
        <f t="shared" si="86"/>
        <v>0.30510437263066476</v>
      </c>
      <c r="O83" s="4">
        <f t="shared" si="116"/>
        <v>3.8525521863153327</v>
      </c>
      <c r="P83" s="4">
        <f t="shared" si="117"/>
        <v>3.5474478136846677</v>
      </c>
      <c r="Q83" s="4">
        <f t="shared" si="87"/>
        <v>0</v>
      </c>
      <c r="R83" s="4">
        <f t="shared" si="88"/>
        <v>3.7010481474644266</v>
      </c>
      <c r="S83" s="360">
        <f t="shared" si="89"/>
        <v>6.8488786949249314E-2</v>
      </c>
      <c r="T83" s="360">
        <f t="shared" si="90"/>
        <v>0.3</v>
      </c>
      <c r="U83" s="360">
        <f t="shared" si="91"/>
        <v>0.3705188981392758</v>
      </c>
      <c r="V83" s="4">
        <f t="shared" si="118"/>
        <v>8.8076045834623098E-2</v>
      </c>
      <c r="W83" s="360">
        <f t="shared" si="92"/>
        <v>1.551477969972526E-5</v>
      </c>
      <c r="X83" s="360">
        <f t="shared" si="119"/>
        <v>1.551477969972526E-5</v>
      </c>
      <c r="Y83" s="4">
        <f t="shared" si="93"/>
        <v>0.7741350360943583</v>
      </c>
      <c r="Z83" s="360">
        <f t="shared" si="120"/>
        <v>5.9928505410881342E-4</v>
      </c>
      <c r="AA83" s="541">
        <f t="shared" si="121"/>
        <v>5.9928505410881342E-4</v>
      </c>
      <c r="AB83" s="360">
        <f t="shared" si="94"/>
        <v>3.6152002300939028</v>
      </c>
      <c r="AC83" s="360">
        <f t="shared" si="95"/>
        <v>7.8418036222026047E-2</v>
      </c>
      <c r="AD83" s="360">
        <f t="shared" si="96"/>
        <v>0.27632468978626024</v>
      </c>
      <c r="AE83" s="360">
        <f t="shared" si="97"/>
        <v>0.6042329999999998</v>
      </c>
      <c r="AF83" s="360">
        <f t="shared" si="98"/>
        <v>0</v>
      </c>
      <c r="AG83" s="360">
        <f t="shared" si="99"/>
        <v>0.97054416749591521</v>
      </c>
      <c r="AH83" s="360">
        <f t="shared" si="100"/>
        <v>0.79251794060378011</v>
      </c>
      <c r="AI83" s="360">
        <f t="shared" si="101"/>
        <v>1.5702117154471418E-3</v>
      </c>
      <c r="AJ83" s="360">
        <f t="shared" si="102"/>
        <v>0.14504</v>
      </c>
      <c r="AK83" s="360">
        <f t="shared" si="103"/>
        <v>0.14665626799347656</v>
      </c>
      <c r="AL83" s="360">
        <f t="shared" si="104"/>
        <v>0.14504</v>
      </c>
      <c r="AM83" s="360">
        <f t="shared" si="105"/>
        <v>1.8648</v>
      </c>
      <c r="AN83" s="360">
        <f t="shared" si="106"/>
        <v>5.4791029559399455E-2</v>
      </c>
      <c r="AO83" s="360">
        <f t="shared" si="107"/>
        <v>7.3499999999999998E-4</v>
      </c>
      <c r="AP83" s="360">
        <f t="shared" si="108"/>
        <v>0.32999999999999996</v>
      </c>
      <c r="AQ83" s="360">
        <f t="shared" si="109"/>
        <v>1.2539999999999998</v>
      </c>
      <c r="AR83" s="360">
        <f t="shared" si="110"/>
        <v>1.0559999999999998</v>
      </c>
      <c r="AS83" s="360">
        <f t="shared" si="129"/>
        <v>0.33073499999999995</v>
      </c>
      <c r="AT83" s="360">
        <f t="shared" si="122"/>
        <v>3.8837001630218757</v>
      </c>
      <c r="AU83">
        <f t="shared" si="111"/>
        <v>74</v>
      </c>
      <c r="AV83" s="542">
        <f t="shared" si="123"/>
        <v>0.95013462181569797</v>
      </c>
      <c r="AW83" s="551">
        <f t="shared" si="112"/>
        <v>110.06560837479577</v>
      </c>
      <c r="AX83" s="551">
        <f t="shared" si="113"/>
        <v>28.957530183752109</v>
      </c>
      <c r="AY83" s="9"/>
      <c r="AZ83" s="4">
        <f t="shared" si="124"/>
        <v>95.013462181569793</v>
      </c>
      <c r="BA83" s="360">
        <f t="shared" si="114"/>
        <v>0.3705188981392758</v>
      </c>
      <c r="BB83" s="360">
        <f t="shared" si="125"/>
        <v>2.9820004354893919</v>
      </c>
      <c r="BC83" s="360">
        <f t="shared" si="126"/>
        <v>2.2013121674959155</v>
      </c>
      <c r="BD83" s="360">
        <f t="shared" si="127"/>
        <v>0.76204026799347657</v>
      </c>
      <c r="BE83" s="360">
        <f t="shared" si="128"/>
        <v>5.4791029559399455E-2</v>
      </c>
      <c r="BK83" s="18"/>
      <c r="BL83" s="19"/>
    </row>
    <row r="84" spans="1:64" x14ac:dyDescent="0.2">
      <c r="G84">
        <v>75</v>
      </c>
      <c r="H84" s="548">
        <f t="shared" si="82"/>
        <v>21</v>
      </c>
      <c r="I84" s="4">
        <f t="shared" si="83"/>
        <v>1</v>
      </c>
      <c r="J84" s="360">
        <f t="shared" si="115"/>
        <v>3.75</v>
      </c>
      <c r="K84" s="4">
        <f t="shared" si="84"/>
        <v>3.9682539682539679</v>
      </c>
      <c r="L84" s="4"/>
      <c r="M84" s="360">
        <f t="shared" si="85"/>
        <v>0.95417075856322353</v>
      </c>
      <c r="N84" s="4">
        <f t="shared" si="86"/>
        <v>0.30493707159082967</v>
      </c>
      <c r="O84" s="4">
        <f t="shared" si="116"/>
        <v>3.902468535795415</v>
      </c>
      <c r="P84" s="4">
        <f t="shared" si="117"/>
        <v>3.597531464204585</v>
      </c>
      <c r="Q84" s="4">
        <f t="shared" si="87"/>
        <v>0</v>
      </c>
      <c r="R84" s="4">
        <f t="shared" si="88"/>
        <v>3.7510330423501381</v>
      </c>
      <c r="S84" s="360">
        <f t="shared" si="89"/>
        <v>7.0351244424012666E-2</v>
      </c>
      <c r="T84" s="360">
        <f t="shared" si="90"/>
        <v>0.3</v>
      </c>
      <c r="U84" s="360">
        <f t="shared" si="91"/>
        <v>0.37244741555737015</v>
      </c>
      <c r="V84" s="4">
        <f t="shared" si="118"/>
        <v>8.8027750184430847E-2</v>
      </c>
      <c r="W84" s="360">
        <f t="shared" si="92"/>
        <v>1.5497769605065129E-5</v>
      </c>
      <c r="X84" s="360">
        <f t="shared" si="119"/>
        <v>1.5497769605065129E-5</v>
      </c>
      <c r="Y84" s="4">
        <f t="shared" si="93"/>
        <v>0.78439582924327589</v>
      </c>
      <c r="Z84" s="360">
        <f t="shared" si="120"/>
        <v>6.1527681693424637E-4</v>
      </c>
      <c r="AA84" s="541">
        <f t="shared" si="121"/>
        <v>6.1527681693424637E-4</v>
      </c>
      <c r="AB84" s="360">
        <f t="shared" si="94"/>
        <v>3.6640715128918244</v>
      </c>
      <c r="AC84" s="360">
        <f t="shared" si="95"/>
        <v>8.0552520309512307E-2</v>
      </c>
      <c r="AD84" s="360">
        <f t="shared" si="96"/>
        <v>0.28005880721580428</v>
      </c>
      <c r="AE84" s="360">
        <f t="shared" si="97"/>
        <v>0.6042329999999998</v>
      </c>
      <c r="AF84" s="360">
        <f t="shared" si="98"/>
        <v>0</v>
      </c>
      <c r="AG84" s="360">
        <f t="shared" si="99"/>
        <v>0.97680430288924602</v>
      </c>
      <c r="AH84" s="360">
        <f t="shared" si="100"/>
        <v>0.80301234935531973</v>
      </c>
      <c r="AI84" s="360">
        <f t="shared" si="101"/>
        <v>1.6120720830428753E-3</v>
      </c>
      <c r="AJ84" s="360">
        <f t="shared" si="102"/>
        <v>0.14699999999999999</v>
      </c>
      <c r="AK84" s="360">
        <f t="shared" si="103"/>
        <v>0.14866000221092873</v>
      </c>
      <c r="AL84" s="360">
        <f t="shared" si="104"/>
        <v>0.14699999999999999</v>
      </c>
      <c r="AM84" s="360">
        <f t="shared" si="105"/>
        <v>1.89</v>
      </c>
      <c r="AN84" s="360">
        <f t="shared" si="106"/>
        <v>5.6280995539210135E-2</v>
      </c>
      <c r="AO84" s="360">
        <f t="shared" si="107"/>
        <v>7.3499999999999998E-4</v>
      </c>
      <c r="AP84" s="360">
        <f t="shared" si="108"/>
        <v>0.32999999999999996</v>
      </c>
      <c r="AQ84" s="360">
        <f t="shared" si="109"/>
        <v>1.2539999999999998</v>
      </c>
      <c r="AR84" s="360">
        <f t="shared" si="110"/>
        <v>1.0559999999999998</v>
      </c>
      <c r="AS84" s="360">
        <f t="shared" si="129"/>
        <v>0.33073499999999995</v>
      </c>
      <c r="AT84" s="360">
        <f t="shared" si="122"/>
        <v>3.9225584907832944</v>
      </c>
      <c r="AU84">
        <f t="shared" si="111"/>
        <v>75</v>
      </c>
      <c r="AV84" s="542">
        <f t="shared" si="123"/>
        <v>0.95029864001125397</v>
      </c>
      <c r="AW84" s="551">
        <f t="shared" si="112"/>
        <v>111.2102151444623</v>
      </c>
      <c r="AX84" s="551">
        <f t="shared" si="113"/>
        <v>29.34968008401529</v>
      </c>
      <c r="AY84" s="9"/>
      <c r="AZ84" s="4">
        <f t="shared" si="124"/>
        <v>95.029864001125404</v>
      </c>
      <c r="BA84" s="360">
        <f t="shared" si="114"/>
        <v>0.37244741555737015</v>
      </c>
      <c r="BB84" s="360">
        <f t="shared" si="125"/>
        <v>3.0154643051001746</v>
      </c>
      <c r="BC84" s="360">
        <f t="shared" si="126"/>
        <v>2.224204302889246</v>
      </c>
      <c r="BD84" s="360">
        <f t="shared" si="127"/>
        <v>0.77236000221092871</v>
      </c>
      <c r="BE84" s="360">
        <f t="shared" si="128"/>
        <v>5.6280995539210135E-2</v>
      </c>
      <c r="BK84" s="18"/>
      <c r="BL84" s="19"/>
    </row>
    <row r="85" spans="1:64" x14ac:dyDescent="0.2">
      <c r="G85">
        <v>76</v>
      </c>
      <c r="H85" s="548">
        <f t="shared" si="82"/>
        <v>21</v>
      </c>
      <c r="I85" s="4">
        <f t="shared" si="83"/>
        <v>1</v>
      </c>
      <c r="J85" s="360">
        <f t="shared" si="115"/>
        <v>3.8</v>
      </c>
      <c r="K85" s="4">
        <f t="shared" si="84"/>
        <v>4.0211640211640205</v>
      </c>
      <c r="L85" s="4"/>
      <c r="M85" s="360">
        <f t="shared" si="85"/>
        <v>0.95419462048671788</v>
      </c>
      <c r="N85" s="4">
        <f t="shared" si="86"/>
        <v>0.30476976178345816</v>
      </c>
      <c r="O85" s="4">
        <f t="shared" si="116"/>
        <v>3.9523848808917288</v>
      </c>
      <c r="P85" s="4">
        <f t="shared" si="117"/>
        <v>3.6476151191082709</v>
      </c>
      <c r="Q85" s="4">
        <f t="shared" si="87"/>
        <v>0</v>
      </c>
      <c r="R85" s="4">
        <f t="shared" si="88"/>
        <v>3.801018335127416</v>
      </c>
      <c r="S85" s="360">
        <f t="shared" si="89"/>
        <v>7.2238701919873971E-2</v>
      </c>
      <c r="T85" s="360">
        <f t="shared" si="90"/>
        <v>0.3</v>
      </c>
      <c r="U85" s="360">
        <f t="shared" si="91"/>
        <v>0.37440240944418768</v>
      </c>
      <c r="V85" s="4">
        <f t="shared" si="118"/>
        <v>8.7979452003268843E-2</v>
      </c>
      <c r="W85" s="360">
        <f t="shared" si="92"/>
        <v>1.548076794959097E-5</v>
      </c>
      <c r="X85" s="360">
        <f t="shared" si="119"/>
        <v>1.548076794959097E-5</v>
      </c>
      <c r="Y85" s="4">
        <f t="shared" si="93"/>
        <v>0.79465146669610887</v>
      </c>
      <c r="Z85" s="360">
        <f t="shared" si="120"/>
        <v>6.3147095352227706E-4</v>
      </c>
      <c r="AA85" s="541">
        <f t="shared" si="121"/>
        <v>6.3147095352227706E-4</v>
      </c>
      <c r="AB85" s="360">
        <f t="shared" si="94"/>
        <v>3.7129444047248348</v>
      </c>
      <c r="AC85" s="360">
        <f t="shared" si="95"/>
        <v>8.2715736915464744E-2</v>
      </c>
      <c r="AD85" s="360">
        <f t="shared" si="96"/>
        <v>0.28379292464534833</v>
      </c>
      <c r="AE85" s="360">
        <f t="shared" si="97"/>
        <v>0.6042329999999998</v>
      </c>
      <c r="AF85" s="360">
        <f t="shared" si="98"/>
        <v>0</v>
      </c>
      <c r="AG85" s="360">
        <f t="shared" si="99"/>
        <v>0.98310199851387436</v>
      </c>
      <c r="AH85" s="360">
        <f t="shared" si="100"/>
        <v>0.81350121782166851</v>
      </c>
      <c r="AI85" s="360">
        <f t="shared" si="101"/>
        <v>1.6544605784933445E-3</v>
      </c>
      <c r="AJ85" s="360">
        <f t="shared" si="102"/>
        <v>0.14895999999999998</v>
      </c>
      <c r="AK85" s="360">
        <f t="shared" si="103"/>
        <v>0.15066431421218326</v>
      </c>
      <c r="AL85" s="360">
        <f t="shared" si="104"/>
        <v>0.14895999999999998</v>
      </c>
      <c r="AM85" s="360">
        <f t="shared" si="105"/>
        <v>1.9151999999999998</v>
      </c>
      <c r="AN85" s="360">
        <f t="shared" si="106"/>
        <v>5.7790961535899174E-2</v>
      </c>
      <c r="AO85" s="360">
        <f t="shared" si="107"/>
        <v>7.3499999999999998E-4</v>
      </c>
      <c r="AP85" s="360">
        <f t="shared" si="108"/>
        <v>0.32999999999999996</v>
      </c>
      <c r="AQ85" s="360">
        <f t="shared" si="109"/>
        <v>1.2539999999999998</v>
      </c>
      <c r="AR85" s="360">
        <f t="shared" si="110"/>
        <v>1.0559999999999998</v>
      </c>
      <c r="AS85" s="360">
        <f t="shared" si="129"/>
        <v>0.33073499999999995</v>
      </c>
      <c r="AT85" s="360">
        <f t="shared" si="122"/>
        <v>3.961501635427616</v>
      </c>
      <c r="AU85">
        <f t="shared" si="111"/>
        <v>76</v>
      </c>
      <c r="AV85" s="542">
        <f t="shared" si="123"/>
        <v>0.95045738818801229</v>
      </c>
      <c r="AW85" s="551">
        <f t="shared" si="112"/>
        <v>112.3566999256937</v>
      </c>
      <c r="AX85" s="551">
        <f t="shared" si="113"/>
        <v>29.741851940062961</v>
      </c>
      <c r="AY85" s="9"/>
      <c r="AZ85" s="4">
        <f t="shared" si="124"/>
        <v>95.045738818801226</v>
      </c>
      <c r="BA85" s="360">
        <f t="shared" si="114"/>
        <v>0.37440240944418768</v>
      </c>
      <c r="BB85" s="360">
        <f t="shared" si="125"/>
        <v>3.0489663127260576</v>
      </c>
      <c r="BC85" s="360">
        <f t="shared" si="126"/>
        <v>2.2471339985138741</v>
      </c>
      <c r="BD85" s="360">
        <f t="shared" si="127"/>
        <v>0.7826803142121832</v>
      </c>
      <c r="BE85" s="360">
        <f t="shared" si="128"/>
        <v>5.7790961535899174E-2</v>
      </c>
      <c r="BK85" s="18"/>
      <c r="BL85" s="19"/>
    </row>
    <row r="86" spans="1:64" x14ac:dyDescent="0.2">
      <c r="G86">
        <v>77</v>
      </c>
      <c r="H86" s="548">
        <f t="shared" si="82"/>
        <v>21</v>
      </c>
      <c r="I86" s="4">
        <f t="shared" si="83"/>
        <v>1</v>
      </c>
      <c r="J86" s="360">
        <f t="shared" si="115"/>
        <v>3.85</v>
      </c>
      <c r="K86" s="4">
        <f t="shared" si="84"/>
        <v>4.0740740740740735</v>
      </c>
      <c r="L86" s="4"/>
      <c r="M86" s="360">
        <f t="shared" si="85"/>
        <v>0.95421848235340323</v>
      </c>
      <c r="N86" s="4">
        <f t="shared" si="86"/>
        <v>0.30460244320857915</v>
      </c>
      <c r="O86" s="4">
        <f t="shared" si="116"/>
        <v>4.0023012216042897</v>
      </c>
      <c r="P86" s="4">
        <f t="shared" si="117"/>
        <v>3.6976987783957105</v>
      </c>
      <c r="Q86" s="4">
        <f t="shared" si="87"/>
        <v>0</v>
      </c>
      <c r="R86" s="4">
        <f t="shared" si="88"/>
        <v>3.8510040103026881</v>
      </c>
      <c r="S86" s="360">
        <f t="shared" si="89"/>
        <v>7.4151159436836936E-2</v>
      </c>
      <c r="T86" s="360">
        <f t="shared" si="90"/>
        <v>0.3</v>
      </c>
      <c r="U86" s="360">
        <f t="shared" si="91"/>
        <v>0.37638390366484581</v>
      </c>
      <c r="V86" s="4">
        <f t="shared" si="118"/>
        <v>8.793115129114544E-2</v>
      </c>
      <c r="W86" s="360">
        <f t="shared" si="92"/>
        <v>1.5463774734772616E-5</v>
      </c>
      <c r="X86" s="360">
        <f t="shared" si="119"/>
        <v>1.5463774734772616E-5</v>
      </c>
      <c r="Y86" s="4">
        <f t="shared" si="93"/>
        <v>0.80490194279265892</v>
      </c>
      <c r="Z86" s="360">
        <f t="shared" si="120"/>
        <v>6.478671375113968E-4</v>
      </c>
      <c r="AA86" s="541">
        <f t="shared" si="121"/>
        <v>6.478671375113968E-4</v>
      </c>
      <c r="AB86" s="360">
        <f t="shared" si="94"/>
        <v>3.761818890445519</v>
      </c>
      <c r="AC86" s="360">
        <f t="shared" si="95"/>
        <v>8.490768818707653E-2</v>
      </c>
      <c r="AD86" s="360">
        <f t="shared" si="96"/>
        <v>0.28752704207489249</v>
      </c>
      <c r="AE86" s="360">
        <f t="shared" si="97"/>
        <v>0.6042329999999998</v>
      </c>
      <c r="AF86" s="360">
        <f t="shared" si="98"/>
        <v>0</v>
      </c>
      <c r="AG86" s="360">
        <f t="shared" si="99"/>
        <v>0.9894373779984722</v>
      </c>
      <c r="AH86" s="360">
        <f t="shared" si="100"/>
        <v>0.82398454042210767</v>
      </c>
      <c r="AI86" s="360">
        <f t="shared" si="101"/>
        <v>1.6973763071365801E-3</v>
      </c>
      <c r="AJ86" s="360">
        <f t="shared" si="102"/>
        <v>0.15092</v>
      </c>
      <c r="AK86" s="360">
        <f t="shared" si="103"/>
        <v>0.15266920372498299</v>
      </c>
      <c r="AL86" s="360">
        <f t="shared" si="104"/>
        <v>0.15092</v>
      </c>
      <c r="AM86" s="360">
        <f t="shared" si="105"/>
        <v>1.9403999999999999</v>
      </c>
      <c r="AN86" s="360">
        <f t="shared" si="106"/>
        <v>5.9320927549469549E-2</v>
      </c>
      <c r="AO86" s="360">
        <f t="shared" si="107"/>
        <v>7.3499999999999998E-4</v>
      </c>
      <c r="AP86" s="360">
        <f t="shared" si="108"/>
        <v>0.32999999999999996</v>
      </c>
      <c r="AQ86" s="360">
        <f t="shared" si="109"/>
        <v>1.2539999999999998</v>
      </c>
      <c r="AR86" s="360">
        <f t="shared" si="110"/>
        <v>1.0559999999999998</v>
      </c>
      <c r="AS86" s="360">
        <f t="shared" si="129"/>
        <v>0.33073499999999995</v>
      </c>
      <c r="AT86" s="360">
        <f t="shared" si="122"/>
        <v>4.0005297438500165</v>
      </c>
      <c r="AU86">
        <f t="shared" si="111"/>
        <v>77</v>
      </c>
      <c r="AV86" s="542">
        <f t="shared" si="123"/>
        <v>0.95061106690905606</v>
      </c>
      <c r="AW86" s="551">
        <f t="shared" si="112"/>
        <v>113.5050688999236</v>
      </c>
      <c r="AX86" s="551">
        <f t="shared" si="113"/>
        <v>30.13404574154935</v>
      </c>
      <c r="AY86" s="9"/>
      <c r="AZ86" s="4">
        <f t="shared" si="124"/>
        <v>95.061106690905604</v>
      </c>
      <c r="BA86" s="360">
        <f t="shared" si="114"/>
        <v>0.37638390366484581</v>
      </c>
      <c r="BB86" s="360">
        <f t="shared" si="125"/>
        <v>3.0825065817234552</v>
      </c>
      <c r="BC86" s="360">
        <f t="shared" si="126"/>
        <v>2.270101377998472</v>
      </c>
      <c r="BD86" s="360">
        <f t="shared" si="127"/>
        <v>0.79300120372498295</v>
      </c>
      <c r="BE86" s="360">
        <f t="shared" si="128"/>
        <v>5.9320927549469549E-2</v>
      </c>
      <c r="BK86" s="18"/>
      <c r="BL86" s="19"/>
    </row>
    <row r="87" spans="1:64" x14ac:dyDescent="0.2">
      <c r="G87">
        <v>78</v>
      </c>
      <c r="H87" s="548">
        <f t="shared" si="82"/>
        <v>21</v>
      </c>
      <c r="I87" s="4">
        <f t="shared" si="83"/>
        <v>1</v>
      </c>
      <c r="J87" s="360">
        <f t="shared" si="115"/>
        <v>3.9</v>
      </c>
      <c r="K87" s="4">
        <f t="shared" si="84"/>
        <v>4.1269841269841265</v>
      </c>
      <c r="L87" s="4"/>
      <c r="M87" s="360">
        <f t="shared" si="85"/>
        <v>0.95424234416328002</v>
      </c>
      <c r="N87" s="4">
        <f t="shared" si="86"/>
        <v>0.30443511586622524</v>
      </c>
      <c r="O87" s="4">
        <f t="shared" si="116"/>
        <v>4.0522175579331128</v>
      </c>
      <c r="P87" s="4">
        <f t="shared" si="117"/>
        <v>3.7477824420668875</v>
      </c>
      <c r="Q87" s="4">
        <f t="shared" si="87"/>
        <v>0</v>
      </c>
      <c r="R87" s="4">
        <f t="shared" si="88"/>
        <v>3.9009900531763777</v>
      </c>
      <c r="S87" s="360">
        <f t="shared" si="89"/>
        <v>7.6088616974905196E-2</v>
      </c>
      <c r="T87" s="360">
        <f t="shared" si="90"/>
        <v>0.3</v>
      </c>
      <c r="U87" s="360">
        <f t="shared" si="91"/>
        <v>0.37839192241901226</v>
      </c>
      <c r="V87" s="4">
        <f t="shared" si="118"/>
        <v>8.7882848048070034E-2</v>
      </c>
      <c r="W87" s="360">
        <f t="shared" si="92"/>
        <v>1.5446789962080336E-5</v>
      </c>
      <c r="X87" s="360">
        <f t="shared" si="119"/>
        <v>1.5446789962080336E-5</v>
      </c>
      <c r="Y87" s="4">
        <f t="shared" si="93"/>
        <v>0.81514725203946392</v>
      </c>
      <c r="Z87" s="360">
        <f t="shared" si="120"/>
        <v>6.6446504250748932E-4</v>
      </c>
      <c r="AA87" s="541">
        <f t="shared" si="121"/>
        <v>6.6446504250748932E-4</v>
      </c>
      <c r="AB87" s="360">
        <f t="shared" si="94"/>
        <v>3.8106949556813245</v>
      </c>
      <c r="AC87" s="360">
        <f t="shared" si="95"/>
        <v>8.7128376271530555E-2</v>
      </c>
      <c r="AD87" s="360">
        <f t="shared" si="96"/>
        <v>0.29126115950443643</v>
      </c>
      <c r="AE87" s="360">
        <f t="shared" si="97"/>
        <v>0.6042329999999998</v>
      </c>
      <c r="AF87" s="360">
        <f t="shared" si="98"/>
        <v>0</v>
      </c>
      <c r="AG87" s="360">
        <f t="shared" si="99"/>
        <v>0.99581056614673136</v>
      </c>
      <c r="AH87" s="360">
        <f t="shared" si="100"/>
        <v>0.83446231174687824</v>
      </c>
      <c r="AI87" s="360">
        <f t="shared" si="101"/>
        <v>1.7408183743148607E-3</v>
      </c>
      <c r="AJ87" s="360">
        <f t="shared" si="102"/>
        <v>0.15287999999999999</v>
      </c>
      <c r="AK87" s="360">
        <f t="shared" si="103"/>
        <v>0.15467467047599601</v>
      </c>
      <c r="AL87" s="360">
        <f t="shared" si="104"/>
        <v>0.15287999999999999</v>
      </c>
      <c r="AM87" s="360">
        <f t="shared" si="105"/>
        <v>1.9655999999999998</v>
      </c>
      <c r="AN87" s="360">
        <f t="shared" si="106"/>
        <v>6.0870893579924153E-2</v>
      </c>
      <c r="AO87" s="360">
        <f t="shared" si="107"/>
        <v>7.3499999999999998E-4</v>
      </c>
      <c r="AP87" s="360">
        <f t="shared" si="108"/>
        <v>0.32999999999999996</v>
      </c>
      <c r="AQ87" s="360">
        <f t="shared" si="109"/>
        <v>1.2539999999999998</v>
      </c>
      <c r="AR87" s="360">
        <f t="shared" si="110"/>
        <v>1.0559999999999998</v>
      </c>
      <c r="AS87" s="360">
        <f t="shared" si="129"/>
        <v>0.33073499999999995</v>
      </c>
      <c r="AT87" s="360">
        <f t="shared" si="122"/>
        <v>4.0396429644541332</v>
      </c>
      <c r="AU87">
        <f t="shared" si="111"/>
        <v>78</v>
      </c>
      <c r="AV87" s="542">
        <f t="shared" si="123"/>
        <v>0.95075986659029688</v>
      </c>
      <c r="AW87" s="551">
        <f t="shared" si="112"/>
        <v>114.65532830733656</v>
      </c>
      <c r="AX87" s="551">
        <f t="shared" si="113"/>
        <v>30.52626147808785</v>
      </c>
      <c r="AY87" s="9"/>
      <c r="AZ87" s="4">
        <f t="shared" si="124"/>
        <v>95.075986659029681</v>
      </c>
      <c r="BA87" s="360">
        <f t="shared" si="114"/>
        <v>0.37839192241901226</v>
      </c>
      <c r="BB87" s="360">
        <f t="shared" si="125"/>
        <v>3.1160852366227272</v>
      </c>
      <c r="BC87" s="360">
        <f t="shared" si="126"/>
        <v>2.2931065661467311</v>
      </c>
      <c r="BD87" s="360">
        <f t="shared" si="127"/>
        <v>0.80332267047599604</v>
      </c>
      <c r="BE87" s="360">
        <f t="shared" si="128"/>
        <v>6.0870893579924153E-2</v>
      </c>
      <c r="BK87" s="18"/>
      <c r="BL87" s="19"/>
    </row>
    <row r="88" spans="1:64" x14ac:dyDescent="0.2">
      <c r="G88">
        <v>79</v>
      </c>
      <c r="H88" s="548">
        <f t="shared" si="82"/>
        <v>21</v>
      </c>
      <c r="I88" s="4">
        <f t="shared" si="83"/>
        <v>1</v>
      </c>
      <c r="J88" s="360">
        <f t="shared" si="115"/>
        <v>3.95</v>
      </c>
      <c r="K88" s="4">
        <f t="shared" si="84"/>
        <v>4.1798941798941796</v>
      </c>
      <c r="L88" s="4"/>
      <c r="M88" s="360">
        <f t="shared" si="85"/>
        <v>0.95426620591634814</v>
      </c>
      <c r="N88" s="4">
        <f t="shared" si="86"/>
        <v>0.3042677797564276</v>
      </c>
      <c r="O88" s="4">
        <f t="shared" si="116"/>
        <v>4.102133889878214</v>
      </c>
      <c r="P88" s="4">
        <f t="shared" si="117"/>
        <v>3.7978661101217863</v>
      </c>
      <c r="Q88" s="4">
        <f t="shared" si="87"/>
        <v>0</v>
      </c>
      <c r="R88" s="4">
        <f t="shared" si="88"/>
        <v>3.9509764497926958</v>
      </c>
      <c r="S88" s="360">
        <f t="shared" si="89"/>
        <v>7.8051074534082471E-2</v>
      </c>
      <c r="T88" s="360">
        <f t="shared" si="90"/>
        <v>0.3</v>
      </c>
      <c r="U88" s="360">
        <f t="shared" si="91"/>
        <v>0.38042649024164971</v>
      </c>
      <c r="V88" s="4">
        <f t="shared" si="118"/>
        <v>8.783454227405163E-2</v>
      </c>
      <c r="W88" s="360">
        <f t="shared" si="92"/>
        <v>1.5429813632984325E-5</v>
      </c>
      <c r="X88" s="360">
        <f t="shared" si="119"/>
        <v>1.5429813632984325E-5</v>
      </c>
      <c r="Y88" s="4">
        <f t="shared" si="93"/>
        <v>0.82538738909910869</v>
      </c>
      <c r="Z88" s="360">
        <f t="shared" si="120"/>
        <v>6.8126434208384346E-4</v>
      </c>
      <c r="AA88" s="541">
        <f t="shared" si="121"/>
        <v>6.8126434208384346E-4</v>
      </c>
      <c r="AB88" s="360">
        <f t="shared" si="94"/>
        <v>3.8595725867855624</v>
      </c>
      <c r="AC88" s="360">
        <f t="shared" si="95"/>
        <v>8.9377803315999579E-2</v>
      </c>
      <c r="AD88" s="360">
        <f t="shared" si="96"/>
        <v>0.29499527693398053</v>
      </c>
      <c r="AE88" s="360">
        <f t="shared" si="97"/>
        <v>0.6042329999999998</v>
      </c>
      <c r="AF88" s="360">
        <f t="shared" si="98"/>
        <v>0</v>
      </c>
      <c r="AG88" s="360">
        <f t="shared" si="99"/>
        <v>1.0022216889450002</v>
      </c>
      <c r="AH88" s="360">
        <f t="shared" si="100"/>
        <v>0.84493452654622792</v>
      </c>
      <c r="AI88" s="360">
        <f t="shared" si="101"/>
        <v>1.7847858853747458E-3</v>
      </c>
      <c r="AJ88" s="360">
        <f t="shared" si="102"/>
        <v>0.15484000000000001</v>
      </c>
      <c r="AK88" s="360">
        <f t="shared" si="103"/>
        <v>0.15668071419081439</v>
      </c>
      <c r="AL88" s="360">
        <f t="shared" si="104"/>
        <v>0.15484000000000001</v>
      </c>
      <c r="AM88" s="360">
        <f t="shared" si="105"/>
        <v>1.9907999999999999</v>
      </c>
      <c r="AN88" s="360">
        <f t="shared" si="106"/>
        <v>6.2440859627265984E-2</v>
      </c>
      <c r="AO88" s="360">
        <f t="shared" si="107"/>
        <v>7.3499999999999998E-4</v>
      </c>
      <c r="AP88" s="360">
        <f t="shared" si="108"/>
        <v>0.32999999999999996</v>
      </c>
      <c r="AQ88" s="360">
        <f t="shared" si="109"/>
        <v>1.2539999999999998</v>
      </c>
      <c r="AR88" s="360">
        <f t="shared" si="110"/>
        <v>1.0559999999999998</v>
      </c>
      <c r="AS88" s="360">
        <f t="shared" si="129"/>
        <v>0.33073499999999995</v>
      </c>
      <c r="AT88" s="360">
        <f t="shared" si="122"/>
        <v>4.0788414471604471</v>
      </c>
      <c r="AU88">
        <f t="shared" si="111"/>
        <v>79</v>
      </c>
      <c r="AV88" s="542">
        <f t="shared" si="123"/>
        <v>0.95090396813303357</v>
      </c>
      <c r="AW88" s="551">
        <f t="shared" si="112"/>
        <v>115.80748444725</v>
      </c>
      <c r="AX88" s="551">
        <f t="shared" si="113"/>
        <v>30.918499139250947</v>
      </c>
      <c r="AY88" s="9"/>
      <c r="AZ88" s="4">
        <f t="shared" si="124"/>
        <v>95.090396813303357</v>
      </c>
      <c r="BA88" s="360">
        <f t="shared" si="114"/>
        <v>0.38042649024164971</v>
      </c>
      <c r="BB88" s="360">
        <f t="shared" si="125"/>
        <v>3.1497024031358145</v>
      </c>
      <c r="BC88" s="360">
        <f t="shared" si="126"/>
        <v>2.316149688945</v>
      </c>
      <c r="BD88" s="360">
        <f t="shared" si="127"/>
        <v>0.81364471419081441</v>
      </c>
      <c r="BE88" s="360">
        <f t="shared" si="128"/>
        <v>6.2440859627265984E-2</v>
      </c>
      <c r="BK88" s="18"/>
      <c r="BL88" s="19"/>
    </row>
    <row r="89" spans="1:64" x14ac:dyDescent="0.2">
      <c r="G89">
        <v>80</v>
      </c>
      <c r="H89" s="548">
        <f t="shared" si="82"/>
        <v>21</v>
      </c>
      <c r="I89" s="4">
        <f t="shared" si="83"/>
        <v>1</v>
      </c>
      <c r="J89" s="360">
        <f t="shared" si="115"/>
        <v>4</v>
      </c>
      <c r="K89" s="4">
        <f t="shared" si="84"/>
        <v>4.2328042328042326</v>
      </c>
      <c r="L89" s="4"/>
      <c r="M89" s="360">
        <f t="shared" si="85"/>
        <v>0.95429006761260848</v>
      </c>
      <c r="N89" s="4">
        <f t="shared" si="86"/>
        <v>0.30410043487921773</v>
      </c>
      <c r="O89" s="4">
        <f t="shared" si="116"/>
        <v>4.1520502174396086</v>
      </c>
      <c r="P89" s="4">
        <f t="shared" si="117"/>
        <v>3.847949782560391</v>
      </c>
      <c r="Q89" s="4">
        <f t="shared" si="87"/>
        <v>0</v>
      </c>
      <c r="R89" s="4">
        <f t="shared" si="88"/>
        <v>4.0009631868931859</v>
      </c>
      <c r="S89" s="360">
        <f t="shared" si="89"/>
        <v>8.0038532114372382E-2</v>
      </c>
      <c r="T89" s="360">
        <f t="shared" si="90"/>
        <v>0.3</v>
      </c>
      <c r="U89" s="360">
        <f t="shared" si="91"/>
        <v>0.38248763200377112</v>
      </c>
      <c r="V89" s="4">
        <f t="shared" si="118"/>
        <v>8.778623396909932E-2</v>
      </c>
      <c r="W89" s="360">
        <f t="shared" si="92"/>
        <v>1.5412845748954896E-5</v>
      </c>
      <c r="X89" s="360">
        <f t="shared" si="119"/>
        <v>1.5412845748954896E-5</v>
      </c>
      <c r="Y89" s="4">
        <f t="shared" si="93"/>
        <v>0.83562234878031538</v>
      </c>
      <c r="Z89" s="360">
        <f t="shared" si="120"/>
        <v>6.9826470978113109E-4</v>
      </c>
      <c r="AA89" s="541">
        <f t="shared" si="121"/>
        <v>6.9826470978113109E-4</v>
      </c>
      <c r="AB89" s="360">
        <f t="shared" si="94"/>
        <v>3.9084517707920705</v>
      </c>
      <c r="AC89" s="360">
        <f t="shared" si="95"/>
        <v>9.1655971467646022E-2</v>
      </c>
      <c r="AD89" s="360">
        <f t="shared" si="96"/>
        <v>0.29872939436352458</v>
      </c>
      <c r="AE89" s="360">
        <f t="shared" si="97"/>
        <v>0.6042329999999998</v>
      </c>
      <c r="AF89" s="360">
        <f t="shared" si="98"/>
        <v>0</v>
      </c>
      <c r="AG89" s="360">
        <f t="shared" si="99"/>
        <v>1.0086708735700134</v>
      </c>
      <c r="AH89" s="360">
        <f t="shared" si="100"/>
        <v>0.85540117972025576</v>
      </c>
      <c r="AI89" s="360">
        <f t="shared" si="101"/>
        <v>1.8292779456670133E-3</v>
      </c>
      <c r="AJ89" s="360">
        <f t="shared" si="102"/>
        <v>0.15679999999999999</v>
      </c>
      <c r="AK89" s="360">
        <f t="shared" si="103"/>
        <v>0.15868733459395287</v>
      </c>
      <c r="AL89" s="360">
        <f t="shared" si="104"/>
        <v>0.15679999999999999</v>
      </c>
      <c r="AM89" s="360">
        <f t="shared" si="105"/>
        <v>2.0159999999999996</v>
      </c>
      <c r="AN89" s="360">
        <f t="shared" si="106"/>
        <v>6.4030825691497914E-2</v>
      </c>
      <c r="AO89" s="360">
        <f t="shared" si="107"/>
        <v>7.3499999999999998E-4</v>
      </c>
      <c r="AP89" s="360">
        <f t="shared" si="108"/>
        <v>0.32999999999999996</v>
      </c>
      <c r="AQ89" s="360">
        <f t="shared" si="109"/>
        <v>1.2539999999999998</v>
      </c>
      <c r="AR89" s="360">
        <f t="shared" si="110"/>
        <v>1.0559999999999998</v>
      </c>
      <c r="AS89" s="360">
        <f t="shared" si="129"/>
        <v>0.33073499999999995</v>
      </c>
      <c r="AT89" s="360">
        <f t="shared" si="122"/>
        <v>4.1181253434147651</v>
      </c>
      <c r="AU89">
        <f t="shared" si="111"/>
        <v>80</v>
      </c>
      <c r="AV89" s="542">
        <f t="shared" si="123"/>
        <v>0.95104354350976805</v>
      </c>
      <c r="AW89" s="551">
        <f t="shared" si="112"/>
        <v>116.96154367850068</v>
      </c>
      <c r="AX89" s="551">
        <f t="shared" si="113"/>
        <v>31.310758714570206</v>
      </c>
      <c r="AY89" s="9"/>
      <c r="AZ89" s="4">
        <f t="shared" si="124"/>
        <v>95.104354350976806</v>
      </c>
      <c r="BA89" s="360">
        <f t="shared" si="114"/>
        <v>0.38248763200377112</v>
      </c>
      <c r="BB89" s="360">
        <f t="shared" si="125"/>
        <v>3.1833582081639658</v>
      </c>
      <c r="BC89" s="360">
        <f t="shared" si="126"/>
        <v>2.3392308735700134</v>
      </c>
      <c r="BD89" s="360">
        <f t="shared" si="127"/>
        <v>0.82396733459395277</v>
      </c>
      <c r="BE89" s="360">
        <f t="shared" si="128"/>
        <v>6.4030825691497914E-2</v>
      </c>
      <c r="BK89" s="18"/>
      <c r="BL89" s="19"/>
    </row>
    <row r="90" spans="1:64" x14ac:dyDescent="0.2">
      <c r="G90">
        <v>81</v>
      </c>
      <c r="H90" s="548">
        <f t="shared" si="82"/>
        <v>21</v>
      </c>
      <c r="I90" s="4">
        <f t="shared" si="83"/>
        <v>1</v>
      </c>
      <c r="J90" s="360">
        <f t="shared" si="115"/>
        <v>4.05</v>
      </c>
      <c r="K90" s="4">
        <f t="shared" si="84"/>
        <v>4.2857142857142856</v>
      </c>
      <c r="L90" s="4"/>
      <c r="M90" s="360">
        <f t="shared" si="85"/>
        <v>0.95431392925206027</v>
      </c>
      <c r="N90" s="4">
        <f t="shared" si="86"/>
        <v>0.3039330812346267</v>
      </c>
      <c r="O90" s="4">
        <f t="shared" si="116"/>
        <v>4.2019665406173132</v>
      </c>
      <c r="P90" s="4">
        <f t="shared" si="117"/>
        <v>3.8980334593826864</v>
      </c>
      <c r="Q90" s="4">
        <f t="shared" si="87"/>
        <v>0</v>
      </c>
      <c r="R90" s="4">
        <f t="shared" si="88"/>
        <v>4.0509502518737168</v>
      </c>
      <c r="S90" s="360">
        <f t="shared" si="89"/>
        <v>8.2050989715778649E-2</v>
      </c>
      <c r="T90" s="360">
        <f t="shared" si="90"/>
        <v>0.3</v>
      </c>
      <c r="U90" s="360">
        <f t="shared" si="91"/>
        <v>0.38457537291320615</v>
      </c>
      <c r="V90" s="4">
        <f t="shared" si="118"/>
        <v>8.7737923133222068E-2</v>
      </c>
      <c r="W90" s="360">
        <f t="shared" si="92"/>
        <v>1.5395886311462368E-5</v>
      </c>
      <c r="X90" s="360">
        <f t="shared" si="119"/>
        <v>1.5395886311462368E-5</v>
      </c>
      <c r="Y90" s="4">
        <f t="shared" si="93"/>
        <v>0.84585212602880289</v>
      </c>
      <c r="Z90" s="360">
        <f t="shared" si="120"/>
        <v>7.1546581910744591E-4</v>
      </c>
      <c r="AA90" s="541">
        <f t="shared" si="121"/>
        <v>7.1546581910744591E-4</v>
      </c>
      <c r="AB90" s="360">
        <f t="shared" si="94"/>
        <v>3.9573324953732438</v>
      </c>
      <c r="AC90" s="360">
        <f t="shared" si="95"/>
        <v>9.3962882873622144E-2</v>
      </c>
      <c r="AD90" s="360">
        <f t="shared" si="96"/>
        <v>0.30246351179306863</v>
      </c>
      <c r="AE90" s="360">
        <f t="shared" si="97"/>
        <v>0.6042329999999998</v>
      </c>
      <c r="AF90" s="360">
        <f t="shared" si="98"/>
        <v>0</v>
      </c>
      <c r="AG90" s="360">
        <f t="shared" si="99"/>
        <v>1.015158248396719</v>
      </c>
      <c r="AH90" s="360">
        <f t="shared" si="100"/>
        <v>0.86586226630954866</v>
      </c>
      <c r="AI90" s="360">
        <f t="shared" si="101"/>
        <v>1.8742936605467694E-3</v>
      </c>
      <c r="AJ90" s="360">
        <f t="shared" si="102"/>
        <v>0.15875999999999998</v>
      </c>
      <c r="AK90" s="360">
        <f t="shared" si="103"/>
        <v>0.1606945314088476</v>
      </c>
      <c r="AL90" s="360">
        <f t="shared" si="104"/>
        <v>0.15875999999999998</v>
      </c>
      <c r="AM90" s="360">
        <f t="shared" si="105"/>
        <v>2.0411999999999999</v>
      </c>
      <c r="AN90" s="360">
        <f t="shared" si="106"/>
        <v>6.5640791772622914E-2</v>
      </c>
      <c r="AO90" s="360">
        <f t="shared" si="107"/>
        <v>7.3499999999999998E-4</v>
      </c>
      <c r="AP90" s="360">
        <f t="shared" si="108"/>
        <v>0.32999999999999996</v>
      </c>
      <c r="AQ90" s="360">
        <f t="shared" si="109"/>
        <v>1.2539999999999998</v>
      </c>
      <c r="AR90" s="360">
        <f t="shared" si="110"/>
        <v>1.0559999999999998</v>
      </c>
      <c r="AS90" s="360">
        <f t="shared" si="129"/>
        <v>0.33073499999999995</v>
      </c>
      <c r="AT90" s="360">
        <f t="shared" si="122"/>
        <v>4.157494806196814</v>
      </c>
      <c r="AU90">
        <f t="shared" si="111"/>
        <v>81</v>
      </c>
      <c r="AV90" s="542">
        <f t="shared" si="123"/>
        <v>0.95117875630725723</v>
      </c>
      <c r="AW90" s="551">
        <f t="shared" si="112"/>
        <v>118.11751241983595</v>
      </c>
      <c r="AX90" s="551">
        <f t="shared" si="113"/>
        <v>31.703040193536207</v>
      </c>
      <c r="AY90" s="9"/>
      <c r="AZ90" s="4">
        <f t="shared" si="124"/>
        <v>95.11787563072572</v>
      </c>
      <c r="BA90" s="360">
        <f t="shared" si="114"/>
        <v>0.38457537291320615</v>
      </c>
      <c r="BB90" s="360">
        <f t="shared" si="125"/>
        <v>3.2170527798055666</v>
      </c>
      <c r="BC90" s="360">
        <f t="shared" si="126"/>
        <v>2.3623502483967189</v>
      </c>
      <c r="BD90" s="360">
        <f t="shared" si="127"/>
        <v>0.83429053140884757</v>
      </c>
      <c r="BE90" s="360">
        <f t="shared" si="128"/>
        <v>6.5640791772622914E-2</v>
      </c>
      <c r="BK90" s="18"/>
      <c r="BL90" s="19"/>
    </row>
    <row r="91" spans="1:64" x14ac:dyDescent="0.2">
      <c r="G91">
        <v>82</v>
      </c>
      <c r="H91" s="548">
        <f t="shared" si="82"/>
        <v>21</v>
      </c>
      <c r="I91" s="4">
        <f t="shared" si="83"/>
        <v>1</v>
      </c>
      <c r="J91" s="360">
        <f t="shared" si="115"/>
        <v>4.0999999999999996</v>
      </c>
      <c r="K91" s="4">
        <f t="shared" si="84"/>
        <v>4.3386243386243377</v>
      </c>
      <c r="L91" s="4"/>
      <c r="M91" s="360">
        <f t="shared" si="85"/>
        <v>0.95433779083470427</v>
      </c>
      <c r="N91" s="4">
        <f t="shared" si="86"/>
        <v>0.30376571882268594</v>
      </c>
      <c r="O91" s="4">
        <f t="shared" si="116"/>
        <v>4.2518828594113423</v>
      </c>
      <c r="P91" s="4">
        <f t="shared" si="117"/>
        <v>3.9481171405886566</v>
      </c>
      <c r="Q91" s="4">
        <f t="shared" si="87"/>
        <v>0</v>
      </c>
      <c r="R91" s="4">
        <f t="shared" si="88"/>
        <v>4.1009376327446123</v>
      </c>
      <c r="S91" s="360">
        <f t="shared" si="89"/>
        <v>8.4088447338304922E-2</v>
      </c>
      <c r="T91" s="360">
        <f t="shared" si="90"/>
        <v>0.3</v>
      </c>
      <c r="U91" s="360">
        <f t="shared" si="91"/>
        <v>0.38668973851537802</v>
      </c>
      <c r="V91" s="4">
        <f t="shared" si="118"/>
        <v>8.768960976642895E-2</v>
      </c>
      <c r="W91" s="360">
        <f t="shared" si="92"/>
        <v>1.5378935321977185E-5</v>
      </c>
      <c r="X91" s="360">
        <f t="shared" si="119"/>
        <v>1.5378935321977185E-5</v>
      </c>
      <c r="Y91" s="4">
        <f t="shared" si="93"/>
        <v>0.85607671591876489</v>
      </c>
      <c r="Z91" s="360">
        <f t="shared" si="120"/>
        <v>7.3286734353825763E-4</v>
      </c>
      <c r="AA91" s="541">
        <f t="shared" si="121"/>
        <v>7.3286734353825763E-4</v>
      </c>
      <c r="AB91" s="360">
        <f t="shared" si="94"/>
        <v>4.0062147488011242</v>
      </c>
      <c r="AC91" s="360">
        <f t="shared" si="95"/>
        <v>9.6298539681069925E-2</v>
      </c>
      <c r="AD91" s="360">
        <f t="shared" si="96"/>
        <v>0.30619762922261268</v>
      </c>
      <c r="AE91" s="360">
        <f t="shared" si="97"/>
        <v>0.6042329999999998</v>
      </c>
      <c r="AF91" s="360">
        <f t="shared" si="98"/>
        <v>0</v>
      </c>
      <c r="AG91" s="360">
        <f t="shared" si="99"/>
        <v>1.0216839430062008</v>
      </c>
      <c r="AH91" s="360">
        <f t="shared" si="100"/>
        <v>0.87631778148644623</v>
      </c>
      <c r="AI91" s="360">
        <f t="shared" si="101"/>
        <v>1.9198321353733172E-3</v>
      </c>
      <c r="AJ91" s="360">
        <f t="shared" si="102"/>
        <v>0.16071999999999997</v>
      </c>
      <c r="AK91" s="360">
        <f t="shared" si="103"/>
        <v>0.16270230435785438</v>
      </c>
      <c r="AL91" s="360">
        <f t="shared" si="104"/>
        <v>0.16071999999999997</v>
      </c>
      <c r="AM91" s="360">
        <f t="shared" si="105"/>
        <v>2.0663999999999998</v>
      </c>
      <c r="AN91" s="360">
        <f t="shared" si="106"/>
        <v>6.7270757870643932E-2</v>
      </c>
      <c r="AO91" s="360">
        <f t="shared" si="107"/>
        <v>7.3499999999999998E-4</v>
      </c>
      <c r="AP91" s="360">
        <f t="shared" si="108"/>
        <v>0.32999999999999996</v>
      </c>
      <c r="AQ91" s="360">
        <f t="shared" si="109"/>
        <v>1.2539999999999998</v>
      </c>
      <c r="AR91" s="360">
        <f t="shared" si="110"/>
        <v>1.0559999999999998</v>
      </c>
      <c r="AS91" s="360">
        <f t="shared" si="129"/>
        <v>0.33073499999999995</v>
      </c>
      <c r="AT91" s="360">
        <f t="shared" si="122"/>
        <v>4.1969499900289371</v>
      </c>
      <c r="AU91">
        <f t="shared" si="111"/>
        <v>82</v>
      </c>
      <c r="AV91" s="542">
        <f t="shared" si="123"/>
        <v>0.95130976223039876</v>
      </c>
      <c r="AW91" s="551">
        <f t="shared" si="112"/>
        <v>119.27539715031004</v>
      </c>
      <c r="AX91" s="551">
        <f t="shared" si="113"/>
        <v>32.095343565598462</v>
      </c>
      <c r="AY91" s="9"/>
      <c r="AZ91" s="4">
        <f t="shared" si="124"/>
        <v>95.13097622303988</v>
      </c>
      <c r="BA91" s="360">
        <f t="shared" si="114"/>
        <v>0.38668973851537802</v>
      </c>
      <c r="BB91" s="360">
        <f t="shared" si="125"/>
        <v>3.2507862473640552</v>
      </c>
      <c r="BC91" s="360">
        <f t="shared" si="126"/>
        <v>2.3855079430062007</v>
      </c>
      <c r="BD91" s="360">
        <f t="shared" si="127"/>
        <v>0.84461430435785434</v>
      </c>
      <c r="BE91" s="360">
        <f t="shared" si="128"/>
        <v>6.7270757870643932E-2</v>
      </c>
      <c r="BK91" s="18"/>
      <c r="BL91" s="19"/>
    </row>
    <row r="92" spans="1:64" x14ac:dyDescent="0.2">
      <c r="G92">
        <v>83</v>
      </c>
      <c r="H92" s="548">
        <f t="shared" si="82"/>
        <v>21</v>
      </c>
      <c r="I92" s="4">
        <f t="shared" si="83"/>
        <v>1</v>
      </c>
      <c r="J92" s="360">
        <f t="shared" si="115"/>
        <v>4.1500000000000004</v>
      </c>
      <c r="K92" s="4">
        <f t="shared" si="84"/>
        <v>4.3915343915343907</v>
      </c>
      <c r="L92" s="4"/>
      <c r="M92" s="360">
        <f t="shared" si="85"/>
        <v>0.95436165236054049</v>
      </c>
      <c r="N92" s="4">
        <f t="shared" si="86"/>
        <v>0.3035983476434278</v>
      </c>
      <c r="O92" s="4">
        <f t="shared" si="116"/>
        <v>4.3017991738217143</v>
      </c>
      <c r="P92" s="4">
        <f t="shared" si="117"/>
        <v>3.9982008261782864</v>
      </c>
      <c r="Q92" s="4">
        <f t="shared" si="87"/>
        <v>0</v>
      </c>
      <c r="R92" s="4">
        <f t="shared" si="88"/>
        <v>4.1509253180936643</v>
      </c>
      <c r="S92" s="360">
        <f t="shared" si="89"/>
        <v>8.6150904981954948E-2</v>
      </c>
      <c r="T92" s="360">
        <f t="shared" si="90"/>
        <v>0.3</v>
      </c>
      <c r="U92" s="360">
        <f t="shared" si="91"/>
        <v>0.3888307546940919</v>
      </c>
      <c r="V92" s="4">
        <f t="shared" si="118"/>
        <v>8.764129386872932E-2</v>
      </c>
      <c r="W92" s="360">
        <f t="shared" si="92"/>
        <v>1.5361992781969942E-5</v>
      </c>
      <c r="X92" s="360">
        <f t="shared" si="119"/>
        <v>1.5361992781969942E-5</v>
      </c>
      <c r="Y92" s="4">
        <f t="shared" si="93"/>
        <v>0.86629611364500925</v>
      </c>
      <c r="Z92" s="360">
        <f t="shared" si="120"/>
        <v>7.5046895651644679E-4</v>
      </c>
      <c r="AA92" s="541">
        <f t="shared" si="121"/>
        <v>7.5046895651644679E-4</v>
      </c>
      <c r="AB92" s="360">
        <f t="shared" si="94"/>
        <v>4.0550985199113088</v>
      </c>
      <c r="AC92" s="360">
        <f t="shared" si="95"/>
        <v>9.8662944037121322E-2</v>
      </c>
      <c r="AD92" s="360">
        <f t="shared" si="96"/>
        <v>0.30993174665215678</v>
      </c>
      <c r="AE92" s="360">
        <f t="shared" si="97"/>
        <v>0.6042329999999998</v>
      </c>
      <c r="AF92" s="360">
        <f t="shared" si="98"/>
        <v>0</v>
      </c>
      <c r="AG92" s="360">
        <f t="shared" si="99"/>
        <v>1.0282480881937013</v>
      </c>
      <c r="AH92" s="360">
        <f t="shared" si="100"/>
        <v>0.88676772054698783</v>
      </c>
      <c r="AI92" s="360">
        <f t="shared" si="101"/>
        <v>1.9658924755102517E-3</v>
      </c>
      <c r="AJ92" s="360">
        <f t="shared" si="102"/>
        <v>0.16268000000000002</v>
      </c>
      <c r="AK92" s="360">
        <f t="shared" si="103"/>
        <v>0.16471065316224787</v>
      </c>
      <c r="AL92" s="360">
        <f t="shared" si="104"/>
        <v>0.16268000000000002</v>
      </c>
      <c r="AM92" s="360">
        <f t="shared" si="105"/>
        <v>2.0916000000000001</v>
      </c>
      <c r="AN92" s="360">
        <f t="shared" si="106"/>
        <v>6.8920723985563953E-2</v>
      </c>
      <c r="AO92" s="360">
        <f t="shared" si="107"/>
        <v>7.3499999999999998E-4</v>
      </c>
      <c r="AP92" s="360">
        <f t="shared" si="108"/>
        <v>0.32999999999999996</v>
      </c>
      <c r="AQ92" s="360">
        <f t="shared" si="109"/>
        <v>1.2539999999999998</v>
      </c>
      <c r="AR92" s="360">
        <f t="shared" si="110"/>
        <v>1.0559999999999998</v>
      </c>
      <c r="AS92" s="360">
        <f t="shared" si="129"/>
        <v>0.33073499999999995</v>
      </c>
      <c r="AT92" s="360">
        <f t="shared" si="122"/>
        <v>4.2364910509849034</v>
      </c>
      <c r="AU92">
        <f t="shared" si="111"/>
        <v>83</v>
      </c>
      <c r="AV92" s="542">
        <f t="shared" si="123"/>
        <v>0.95143670957020821</v>
      </c>
      <c r="AW92" s="551">
        <f t="shared" si="112"/>
        <v>120.43520440968507</v>
      </c>
      <c r="AX92" s="551">
        <f t="shared" si="113"/>
        <v>32.487668820165425</v>
      </c>
      <c r="AY92" s="9"/>
      <c r="AZ92" s="4">
        <f t="shared" si="124"/>
        <v>95.143670957020817</v>
      </c>
      <c r="BA92" s="360">
        <f t="shared" si="114"/>
        <v>0.3888307546940919</v>
      </c>
      <c r="BB92" s="360">
        <f t="shared" si="125"/>
        <v>3.2845587413559492</v>
      </c>
      <c r="BC92" s="360">
        <f t="shared" si="126"/>
        <v>2.4087040881937014</v>
      </c>
      <c r="BD92" s="360">
        <f t="shared" si="127"/>
        <v>0.85493865316224793</v>
      </c>
      <c r="BE92" s="360">
        <f t="shared" si="128"/>
        <v>6.8920723985563953E-2</v>
      </c>
      <c r="BK92" s="18"/>
      <c r="BL92" s="19"/>
    </row>
    <row r="93" spans="1:64" x14ac:dyDescent="0.2">
      <c r="G93">
        <v>84</v>
      </c>
      <c r="H93" s="548">
        <f t="shared" si="82"/>
        <v>21</v>
      </c>
      <c r="I93" s="4">
        <f t="shared" si="83"/>
        <v>1</v>
      </c>
      <c r="J93" s="360">
        <f t="shared" si="115"/>
        <v>4.2</v>
      </c>
      <c r="K93" s="4">
        <f t="shared" si="84"/>
        <v>4.4444444444444438</v>
      </c>
      <c r="L93" s="4"/>
      <c r="M93" s="360">
        <f t="shared" si="85"/>
        <v>0.95438551382956949</v>
      </c>
      <c r="N93" s="4">
        <f t="shared" si="86"/>
        <v>0.30343096769688144</v>
      </c>
      <c r="O93" s="4">
        <f t="shared" si="116"/>
        <v>4.3517154838484409</v>
      </c>
      <c r="P93" s="4">
        <f t="shared" si="117"/>
        <v>4.0482845161515595</v>
      </c>
      <c r="Q93" s="4">
        <f t="shared" si="87"/>
        <v>0</v>
      </c>
      <c r="R93" s="4">
        <f t="shared" si="88"/>
        <v>4.2009132970517795</v>
      </c>
      <c r="S93" s="360">
        <f t="shared" si="89"/>
        <v>8.8238362646732252E-2</v>
      </c>
      <c r="T93" s="360">
        <f t="shared" si="90"/>
        <v>0.3</v>
      </c>
      <c r="U93" s="360">
        <f t="shared" si="91"/>
        <v>0.39099844767233388</v>
      </c>
      <c r="V93" s="4">
        <f t="shared" si="118"/>
        <v>8.7592975440131574E-2</v>
      </c>
      <c r="W93" s="360">
        <f t="shared" si="92"/>
        <v>1.5345058692910984E-5</v>
      </c>
      <c r="X93" s="360">
        <f t="shared" si="119"/>
        <v>1.5345058692910984E-5</v>
      </c>
      <c r="Y93" s="4">
        <f t="shared" si="93"/>
        <v>0.87651031451562655</v>
      </c>
      <c r="Z93" s="360">
        <f t="shared" si="120"/>
        <v>7.6827033145228265E-4</v>
      </c>
      <c r="AA93" s="541">
        <f t="shared" si="121"/>
        <v>7.6827033145228265E-4</v>
      </c>
      <c r="AB93" s="360">
        <f t="shared" si="94"/>
        <v>4.1039837980694189</v>
      </c>
      <c r="AC93" s="360">
        <f t="shared" si="95"/>
        <v>0.10105609808889775</v>
      </c>
      <c r="AD93" s="360">
        <f t="shared" si="96"/>
        <v>0.31366586408170083</v>
      </c>
      <c r="AE93" s="360">
        <f t="shared" si="97"/>
        <v>0.6042329999999998</v>
      </c>
      <c r="AF93" s="360">
        <f t="shared" si="98"/>
        <v>0</v>
      </c>
      <c r="AG93" s="360">
        <f t="shared" si="99"/>
        <v>1.0348508159767402</v>
      </c>
      <c r="AH93" s="360">
        <f t="shared" si="100"/>
        <v>0.8972120789033996</v>
      </c>
      <c r="AI93" s="360">
        <f t="shared" si="101"/>
        <v>2.0124737863254005E-3</v>
      </c>
      <c r="AJ93" s="360">
        <f t="shared" si="102"/>
        <v>0.16464000000000001</v>
      </c>
      <c r="AK93" s="360">
        <f t="shared" si="103"/>
        <v>0.16671957754221961</v>
      </c>
      <c r="AL93" s="360">
        <f t="shared" si="104"/>
        <v>0.16464000000000001</v>
      </c>
      <c r="AM93" s="360">
        <f t="shared" si="105"/>
        <v>2.1167999999999996</v>
      </c>
      <c r="AN93" s="360">
        <f t="shared" si="106"/>
        <v>7.0590690117385807E-2</v>
      </c>
      <c r="AO93" s="360">
        <f t="shared" si="107"/>
        <v>7.3499999999999998E-4</v>
      </c>
      <c r="AP93" s="360">
        <f t="shared" si="108"/>
        <v>0.32999999999999996</v>
      </c>
      <c r="AQ93" s="360">
        <f t="shared" si="109"/>
        <v>1.2539999999999998</v>
      </c>
      <c r="AR93" s="360">
        <f t="shared" si="110"/>
        <v>1.0559999999999998</v>
      </c>
      <c r="AS93" s="360">
        <f t="shared" si="129"/>
        <v>0.33073499999999995</v>
      </c>
      <c r="AT93" s="360">
        <f t="shared" si="122"/>
        <v>4.2761181466988241</v>
      </c>
      <c r="AU93">
        <f t="shared" si="111"/>
        <v>84</v>
      </c>
      <c r="AV93" s="542">
        <f t="shared" si="123"/>
        <v>0.95155973963883766</v>
      </c>
      <c r="AW93" s="551">
        <f t="shared" si="112"/>
        <v>121.59694079883701</v>
      </c>
      <c r="AX93" s="551">
        <f t="shared" si="113"/>
        <v>32.880015946604338</v>
      </c>
      <c r="AY93" s="9"/>
      <c r="AZ93" s="4">
        <f t="shared" si="124"/>
        <v>95.155973963883767</v>
      </c>
      <c r="BA93" s="360">
        <f t="shared" si="114"/>
        <v>0.39099844767233388</v>
      </c>
      <c r="BB93" s="360">
        <f t="shared" si="125"/>
        <v>3.3183703935189595</v>
      </c>
      <c r="BC93" s="360">
        <f t="shared" si="126"/>
        <v>2.4319388159767401</v>
      </c>
      <c r="BD93" s="360">
        <f t="shared" si="127"/>
        <v>0.8652635775422195</v>
      </c>
      <c r="BE93" s="360">
        <f t="shared" si="128"/>
        <v>7.0590690117385807E-2</v>
      </c>
      <c r="BK93" s="18"/>
      <c r="BL93" s="19"/>
    </row>
    <row r="94" spans="1:64" x14ac:dyDescent="0.2">
      <c r="G94">
        <v>85</v>
      </c>
      <c r="H94" s="548">
        <f t="shared" si="82"/>
        <v>21</v>
      </c>
      <c r="I94" s="4">
        <f t="shared" si="83"/>
        <v>1</v>
      </c>
      <c r="J94" s="360">
        <f t="shared" si="115"/>
        <v>4.25</v>
      </c>
      <c r="K94" s="4">
        <f t="shared" si="84"/>
        <v>4.4973544973544968</v>
      </c>
      <c r="L94" s="4"/>
      <c r="M94" s="360">
        <f t="shared" si="85"/>
        <v>0.95440937524179104</v>
      </c>
      <c r="N94" s="4">
        <f t="shared" si="86"/>
        <v>0.30326357898307926</v>
      </c>
      <c r="O94" s="4">
        <f t="shared" si="116"/>
        <v>4.4016317894915398</v>
      </c>
      <c r="P94" s="4">
        <f t="shared" si="117"/>
        <v>4.0983682105084602</v>
      </c>
      <c r="Q94" s="4">
        <f t="shared" si="87"/>
        <v>0</v>
      </c>
      <c r="R94" s="4">
        <f t="shared" si="88"/>
        <v>4.2509015592610631</v>
      </c>
      <c r="S94" s="360">
        <f t="shared" si="89"/>
        <v>9.0350820332640677E-2</v>
      </c>
      <c r="T94" s="360">
        <f t="shared" si="90"/>
        <v>0.3</v>
      </c>
      <c r="U94" s="360">
        <f t="shared" si="91"/>
        <v>0.39319284401308113</v>
      </c>
      <c r="V94" s="4">
        <f t="shared" si="118"/>
        <v>8.7544654480645079E-2</v>
      </c>
      <c r="W94" s="360">
        <f t="shared" si="92"/>
        <v>1.5328133056271062E-5</v>
      </c>
      <c r="X94" s="360">
        <f t="shared" si="119"/>
        <v>1.5328133056271062E-5</v>
      </c>
      <c r="Y94" s="4">
        <f t="shared" si="93"/>
        <v>0.88671931394520098</v>
      </c>
      <c r="Z94" s="360">
        <f t="shared" si="120"/>
        <v>7.8627114172344793E-4</v>
      </c>
      <c r="AA94" s="541">
        <f t="shared" si="121"/>
        <v>7.8627114172344793E-4</v>
      </c>
      <c r="AB94" s="360">
        <f t="shared" si="94"/>
        <v>4.1528705731399551</v>
      </c>
      <c r="AC94" s="360">
        <f t="shared" si="95"/>
        <v>0.10347800398351067</v>
      </c>
      <c r="AD94" s="360">
        <f t="shared" si="96"/>
        <v>0.31739998151124488</v>
      </c>
      <c r="AE94" s="360">
        <f t="shared" si="97"/>
        <v>0.6042329999999998</v>
      </c>
      <c r="AF94" s="360">
        <f t="shared" si="98"/>
        <v>0</v>
      </c>
      <c r="AG94" s="360">
        <f t="shared" si="99"/>
        <v>1.0414922596033358</v>
      </c>
      <c r="AH94" s="360">
        <f t="shared" si="100"/>
        <v>0.90765085207713858</v>
      </c>
      <c r="AI94" s="360">
        <f t="shared" si="101"/>
        <v>2.0595751731908893E-3</v>
      </c>
      <c r="AJ94" s="360">
        <f t="shared" si="102"/>
        <v>0.1666</v>
      </c>
      <c r="AK94" s="360">
        <f t="shared" si="103"/>
        <v>0.16872907721687716</v>
      </c>
      <c r="AL94" s="360">
        <f t="shared" si="104"/>
        <v>0.1666</v>
      </c>
      <c r="AM94" s="360">
        <f t="shared" si="105"/>
        <v>2.1419999999999999</v>
      </c>
      <c r="AN94" s="360">
        <f t="shared" si="106"/>
        <v>7.2280656266112547E-2</v>
      </c>
      <c r="AO94" s="360">
        <f t="shared" si="107"/>
        <v>7.3499999999999998E-4</v>
      </c>
      <c r="AP94" s="360">
        <f t="shared" si="108"/>
        <v>0.32999999999999996</v>
      </c>
      <c r="AQ94" s="360">
        <f t="shared" si="109"/>
        <v>1.2539999999999998</v>
      </c>
      <c r="AR94" s="360">
        <f t="shared" si="110"/>
        <v>1.0559999999999998</v>
      </c>
      <c r="AS94" s="360">
        <f t="shared" si="129"/>
        <v>0.33073499999999995</v>
      </c>
      <c r="AT94" s="360">
        <f t="shared" si="122"/>
        <v>4.3158314363741868</v>
      </c>
      <c r="AU94">
        <f t="shared" si="111"/>
        <v>85</v>
      </c>
      <c r="AV94" s="542">
        <f t="shared" si="123"/>
        <v>0.95167898717431021</v>
      </c>
      <c r="AW94" s="551">
        <f t="shared" si="112"/>
        <v>122.76061298016678</v>
      </c>
      <c r="AX94" s="551">
        <f t="shared" si="113"/>
        <v>33.27238493424133</v>
      </c>
      <c r="AY94" s="9"/>
      <c r="AZ94" s="4">
        <f t="shared" si="124"/>
        <v>95.167898717431015</v>
      </c>
      <c r="BA94" s="360">
        <f t="shared" si="114"/>
        <v>0.39319284401308113</v>
      </c>
      <c r="BB94" s="360">
        <f t="shared" si="125"/>
        <v>3.3522213368202127</v>
      </c>
      <c r="BC94" s="360">
        <f t="shared" si="126"/>
        <v>2.4552122596033357</v>
      </c>
      <c r="BD94" s="360">
        <f t="shared" si="127"/>
        <v>0.87558907721687718</v>
      </c>
      <c r="BE94" s="360">
        <f t="shared" si="128"/>
        <v>7.2280656266112547E-2</v>
      </c>
      <c r="BK94" s="18"/>
      <c r="BL94" s="19"/>
    </row>
    <row r="95" spans="1:64" x14ac:dyDescent="0.2">
      <c r="G95">
        <v>86</v>
      </c>
      <c r="H95" s="548">
        <f t="shared" si="82"/>
        <v>21</v>
      </c>
      <c r="I95" s="4">
        <f t="shared" si="83"/>
        <v>1</v>
      </c>
      <c r="J95" s="360">
        <f t="shared" si="115"/>
        <v>4.3</v>
      </c>
      <c r="K95" s="4">
        <f t="shared" si="84"/>
        <v>4.5502645502645498</v>
      </c>
      <c r="L95" s="4"/>
      <c r="M95" s="360">
        <f t="shared" si="85"/>
        <v>0.95443323659720547</v>
      </c>
      <c r="N95" s="4">
        <f t="shared" si="86"/>
        <v>0.30309618150205259</v>
      </c>
      <c r="O95" s="4">
        <f t="shared" si="116"/>
        <v>4.4515480907510261</v>
      </c>
      <c r="P95" s="4">
        <f t="shared" si="117"/>
        <v>4.1484519092489736</v>
      </c>
      <c r="Q95" s="4">
        <f t="shared" si="87"/>
        <v>0</v>
      </c>
      <c r="R95" s="4">
        <f t="shared" si="88"/>
        <v>4.3008900948451076</v>
      </c>
      <c r="S95" s="360">
        <f t="shared" si="89"/>
        <v>9.2488278039683805E-2</v>
      </c>
      <c r="T95" s="360">
        <f t="shared" si="90"/>
        <v>0.3</v>
      </c>
      <c r="U95" s="360">
        <f t="shared" si="91"/>
        <v>0.3954139706201229</v>
      </c>
      <c r="V95" s="4">
        <f t="shared" si="118"/>
        <v>8.749633099027887E-2</v>
      </c>
      <c r="W95" s="360">
        <f t="shared" si="92"/>
        <v>1.5311215873520871E-5</v>
      </c>
      <c r="X95" s="360">
        <f t="shared" si="119"/>
        <v>1.5311215873520871E-5</v>
      </c>
      <c r="Y95" s="4">
        <f t="shared" si="93"/>
        <v>0.89692310744846759</v>
      </c>
      <c r="Z95" s="360">
        <f t="shared" si="120"/>
        <v>8.0447106067501543E-4</v>
      </c>
      <c r="AA95" s="541">
        <f t="shared" si="121"/>
        <v>8.0447106067501543E-4</v>
      </c>
      <c r="AB95" s="360">
        <f t="shared" si="94"/>
        <v>4.201758835457305</v>
      </c>
      <c r="AC95" s="360">
        <f t="shared" si="95"/>
        <v>0.10592866386806116</v>
      </c>
      <c r="AD95" s="360">
        <f t="shared" si="96"/>
        <v>0.32113409894078893</v>
      </c>
      <c r="AE95" s="360">
        <f t="shared" si="97"/>
        <v>0.6042329999999998</v>
      </c>
      <c r="AF95" s="360">
        <f t="shared" si="98"/>
        <v>0</v>
      </c>
      <c r="AG95" s="360">
        <f t="shared" si="99"/>
        <v>1.0481725535603266</v>
      </c>
      <c r="AH95" s="360">
        <f t="shared" si="100"/>
        <v>0.91808403569239228</v>
      </c>
      <c r="AI95" s="360">
        <f t="shared" si="101"/>
        <v>2.1071957414830747E-3</v>
      </c>
      <c r="AJ95" s="360">
        <f t="shared" si="102"/>
        <v>0.16855999999999999</v>
      </c>
      <c r="AK95" s="360">
        <f t="shared" si="103"/>
        <v>0.17073915190424246</v>
      </c>
      <c r="AL95" s="360">
        <f t="shared" si="104"/>
        <v>0.16855999999999999</v>
      </c>
      <c r="AM95" s="360">
        <f t="shared" si="105"/>
        <v>2.1671999999999998</v>
      </c>
      <c r="AN95" s="360">
        <f t="shared" si="106"/>
        <v>7.3990622431747047E-2</v>
      </c>
      <c r="AO95" s="360">
        <f t="shared" si="107"/>
        <v>7.3499999999999998E-4</v>
      </c>
      <c r="AP95" s="360">
        <f t="shared" si="108"/>
        <v>0.32999999999999996</v>
      </c>
      <c r="AQ95" s="360">
        <f t="shared" si="109"/>
        <v>1.2539999999999998</v>
      </c>
      <c r="AR95" s="360">
        <f t="shared" si="110"/>
        <v>1.0559999999999998</v>
      </c>
      <c r="AS95" s="360">
        <f t="shared" si="129"/>
        <v>0.33073499999999995</v>
      </c>
      <c r="AT95" s="360">
        <f t="shared" si="122"/>
        <v>4.3556310807929872</v>
      </c>
      <c r="AU95">
        <f t="shared" si="111"/>
        <v>86</v>
      </c>
      <c r="AV95" s="542">
        <f t="shared" si="123"/>
        <v>0.95179458071740619</v>
      </c>
      <c r="AW95" s="551">
        <f t="shared" si="112"/>
        <v>123.92622767801633</v>
      </c>
      <c r="AX95" s="551">
        <f t="shared" si="113"/>
        <v>33.66477577236121</v>
      </c>
      <c r="AY95" s="9"/>
      <c r="AZ95" s="4">
        <f t="shared" si="124"/>
        <v>95.179458071740612</v>
      </c>
      <c r="BA95" s="360">
        <f t="shared" si="114"/>
        <v>0.3954139706201229</v>
      </c>
      <c r="BB95" s="360">
        <f t="shared" si="125"/>
        <v>3.3861117054645691</v>
      </c>
      <c r="BC95" s="360">
        <f t="shared" si="126"/>
        <v>2.4785245535603266</v>
      </c>
      <c r="BD95" s="360">
        <f t="shared" si="127"/>
        <v>0.88591515190424241</v>
      </c>
      <c r="BE95" s="360">
        <f t="shared" si="128"/>
        <v>7.3990622431747047E-2</v>
      </c>
      <c r="BK95" s="18"/>
      <c r="BL95" s="19"/>
    </row>
    <row r="96" spans="1:64" x14ac:dyDescent="0.2">
      <c r="G96">
        <v>87</v>
      </c>
      <c r="H96" s="548">
        <f t="shared" si="82"/>
        <v>21</v>
      </c>
      <c r="I96" s="4">
        <f t="shared" si="83"/>
        <v>1</v>
      </c>
      <c r="J96" s="360">
        <f t="shared" si="115"/>
        <v>4.3499999999999996</v>
      </c>
      <c r="K96" s="4">
        <f t="shared" si="84"/>
        <v>4.6031746031746028</v>
      </c>
      <c r="L96" s="4"/>
      <c r="M96" s="360">
        <f t="shared" si="85"/>
        <v>0.95445709789581312</v>
      </c>
      <c r="N96" s="4">
        <f t="shared" si="86"/>
        <v>0.30292877525383272</v>
      </c>
      <c r="O96" s="4">
        <f t="shared" si="116"/>
        <v>4.5014643876269158</v>
      </c>
      <c r="P96" s="4">
        <f t="shared" si="117"/>
        <v>4.1985356123730835</v>
      </c>
      <c r="Q96" s="4">
        <f t="shared" si="87"/>
        <v>0</v>
      </c>
      <c r="R96" s="4">
        <f t="shared" si="88"/>
        <v>4.3508788943813475</v>
      </c>
      <c r="S96" s="360">
        <f t="shared" si="89"/>
        <v>9.4650735767865285E-2</v>
      </c>
      <c r="T96" s="360">
        <f t="shared" si="90"/>
        <v>0.3</v>
      </c>
      <c r="U96" s="360">
        <f t="shared" si="91"/>
        <v>0.39766185473889326</v>
      </c>
      <c r="V96" s="4">
        <f t="shared" si="118"/>
        <v>8.7448004969041981E-2</v>
      </c>
      <c r="W96" s="360">
        <f t="shared" si="92"/>
        <v>1.5294307146131181E-5</v>
      </c>
      <c r="X96" s="360">
        <f t="shared" si="119"/>
        <v>1.5294307146131181E-5</v>
      </c>
      <c r="Y96" s="4">
        <f t="shared" si="93"/>
        <v>0.90712169063442571</v>
      </c>
      <c r="Z96" s="360">
        <f t="shared" si="120"/>
        <v>8.2286976161945885E-4</v>
      </c>
      <c r="AA96" s="541">
        <f t="shared" si="121"/>
        <v>8.2286976161945885E-4</v>
      </c>
      <c r="AB96" s="360">
        <f t="shared" si="94"/>
        <v>4.2506485757987598</v>
      </c>
      <c r="AC96" s="360">
        <f t="shared" si="95"/>
        <v>0.10840807988964016</v>
      </c>
      <c r="AD96" s="360">
        <f t="shared" si="96"/>
        <v>0.32486821637033297</v>
      </c>
      <c r="AE96" s="360">
        <f t="shared" si="97"/>
        <v>0.6042329999999998</v>
      </c>
      <c r="AF96" s="360">
        <f t="shared" si="98"/>
        <v>0</v>
      </c>
      <c r="AG96" s="360">
        <f t="shared" si="99"/>
        <v>1.0548918335817921</v>
      </c>
      <c r="AH96" s="360">
        <f t="shared" si="100"/>
        <v>0.9285116254700474</v>
      </c>
      <c r="AI96" s="360">
        <f t="shared" si="101"/>
        <v>2.1553345965825742E-3</v>
      </c>
      <c r="AJ96" s="360">
        <f t="shared" si="102"/>
        <v>0.17051999999999998</v>
      </c>
      <c r="AK96" s="360">
        <f t="shared" si="103"/>
        <v>0.17274980132125065</v>
      </c>
      <c r="AL96" s="360">
        <f t="shared" si="104"/>
        <v>0.17051999999999998</v>
      </c>
      <c r="AM96" s="360">
        <f t="shared" si="105"/>
        <v>2.1923999999999997</v>
      </c>
      <c r="AN96" s="360">
        <f t="shared" si="106"/>
        <v>7.5720588614292234E-2</v>
      </c>
      <c r="AO96" s="360">
        <f t="shared" si="107"/>
        <v>7.3499999999999998E-4</v>
      </c>
      <c r="AP96" s="360">
        <f t="shared" si="108"/>
        <v>0.32999999999999996</v>
      </c>
      <c r="AQ96" s="360">
        <f t="shared" si="109"/>
        <v>1.2539999999999998</v>
      </c>
      <c r="AR96" s="360">
        <f t="shared" si="110"/>
        <v>1.0559999999999998</v>
      </c>
      <c r="AS96" s="360">
        <f t="shared" si="129"/>
        <v>0.33073499999999995</v>
      </c>
      <c r="AT96" s="360">
        <f t="shared" si="122"/>
        <v>4.3955172423249929</v>
      </c>
      <c r="AU96">
        <f t="shared" si="111"/>
        <v>87</v>
      </c>
      <c r="AV96" s="542">
        <f t="shared" si="123"/>
        <v>0.95190664296290617</v>
      </c>
      <c r="AW96" s="551">
        <f t="shared" si="112"/>
        <v>125.09379167908961</v>
      </c>
      <c r="AX96" s="551">
        <f t="shared" si="113"/>
        <v>34.057188450207519</v>
      </c>
      <c r="AY96" s="9"/>
      <c r="AZ96" s="4">
        <f t="shared" si="124"/>
        <v>95.19066429629062</v>
      </c>
      <c r="BA96" s="360">
        <f t="shared" si="114"/>
        <v>0.39766185473889326</v>
      </c>
      <c r="BB96" s="360">
        <f t="shared" si="125"/>
        <v>3.4200416349030425</v>
      </c>
      <c r="BC96" s="360">
        <f t="shared" si="126"/>
        <v>2.5018758335817921</v>
      </c>
      <c r="BD96" s="360">
        <f t="shared" si="127"/>
        <v>0.89624180132125053</v>
      </c>
      <c r="BE96" s="360">
        <f t="shared" si="128"/>
        <v>7.5720588614292234E-2</v>
      </c>
      <c r="BK96" s="18"/>
      <c r="BL96" s="19"/>
    </row>
    <row r="97" spans="7:64" x14ac:dyDescent="0.2">
      <c r="G97">
        <v>88</v>
      </c>
      <c r="H97" s="548">
        <f t="shared" si="82"/>
        <v>21</v>
      </c>
      <c r="I97" s="4">
        <f t="shared" si="83"/>
        <v>1</v>
      </c>
      <c r="J97" s="360">
        <f t="shared" si="115"/>
        <v>4.4000000000000004</v>
      </c>
      <c r="K97" s="4">
        <f t="shared" si="84"/>
        <v>4.6560846560846558</v>
      </c>
      <c r="L97" s="4"/>
      <c r="M97" s="360">
        <f t="shared" si="85"/>
        <v>0.95448095913761422</v>
      </c>
      <c r="N97" s="4">
        <f t="shared" si="86"/>
        <v>0.30276136023845096</v>
      </c>
      <c r="O97" s="4">
        <f t="shared" si="116"/>
        <v>4.5513806801192258</v>
      </c>
      <c r="P97" s="4">
        <f t="shared" si="117"/>
        <v>4.2486193198807749</v>
      </c>
      <c r="Q97" s="4">
        <f t="shared" si="87"/>
        <v>0</v>
      </c>
      <c r="R97" s="4">
        <f t="shared" si="88"/>
        <v>4.4008679488752884</v>
      </c>
      <c r="S97" s="360">
        <f t="shared" si="89"/>
        <v>9.6838193517188934E-2</v>
      </c>
      <c r="T97" s="360">
        <f t="shared" si="90"/>
        <v>0.3</v>
      </c>
      <c r="U97" s="360">
        <f t="shared" si="91"/>
        <v>0.39993652395731455</v>
      </c>
      <c r="V97" s="4">
        <f t="shared" si="118"/>
        <v>8.7399676416943461E-2</v>
      </c>
      <c r="W97" s="360">
        <f t="shared" si="92"/>
        <v>1.5277406875572845E-5</v>
      </c>
      <c r="X97" s="360">
        <f t="shared" si="119"/>
        <v>1.5277406875572845E-5</v>
      </c>
      <c r="Y97" s="4">
        <f t="shared" si="93"/>
        <v>0.91731505920084733</v>
      </c>
      <c r="Z97" s="360">
        <f t="shared" si="120"/>
        <v>8.4146691783665403E-4</v>
      </c>
      <c r="AA97" s="541">
        <f t="shared" si="121"/>
        <v>8.4146691783665403E-4</v>
      </c>
      <c r="AB97" s="360">
        <f t="shared" si="94"/>
        <v>4.299539785359368</v>
      </c>
      <c r="AC97" s="360">
        <f t="shared" si="95"/>
        <v>0.11091625419532847</v>
      </c>
      <c r="AD97" s="360">
        <f t="shared" si="96"/>
        <v>0.32860233379987702</v>
      </c>
      <c r="AE97" s="360">
        <f t="shared" si="97"/>
        <v>0.6042329999999998</v>
      </c>
      <c r="AF97" s="360">
        <f t="shared" si="98"/>
        <v>0</v>
      </c>
      <c r="AG97" s="360">
        <f t="shared" si="99"/>
        <v>1.0616502366575831</v>
      </c>
      <c r="AH97" s="360">
        <f t="shared" si="100"/>
        <v>0.93893361722206381</v>
      </c>
      <c r="AI97" s="360">
        <f t="shared" si="101"/>
        <v>2.2039908438742724E-3</v>
      </c>
      <c r="AJ97" s="360">
        <f t="shared" si="102"/>
        <v>0.17248000000000002</v>
      </c>
      <c r="AK97" s="360">
        <f t="shared" si="103"/>
        <v>0.1747610251837485</v>
      </c>
      <c r="AL97" s="360">
        <f t="shared" si="104"/>
        <v>0.17248000000000002</v>
      </c>
      <c r="AM97" s="360">
        <f t="shared" si="105"/>
        <v>2.2176</v>
      </c>
      <c r="AN97" s="360">
        <f t="shared" si="106"/>
        <v>7.7470554813751147E-2</v>
      </c>
      <c r="AO97" s="360">
        <f t="shared" si="107"/>
        <v>7.3499999999999998E-4</v>
      </c>
      <c r="AP97" s="360">
        <f t="shared" si="108"/>
        <v>0.32999999999999996</v>
      </c>
      <c r="AQ97" s="360">
        <f t="shared" si="109"/>
        <v>1.2539999999999998</v>
      </c>
      <c r="AR97" s="360">
        <f t="shared" si="110"/>
        <v>1.0559999999999998</v>
      </c>
      <c r="AS97" s="360">
        <f t="shared" si="129"/>
        <v>0.33073499999999995</v>
      </c>
      <c r="AT97" s="360">
        <f t="shared" si="122"/>
        <v>4.4354900849371095</v>
      </c>
      <c r="AU97">
        <f t="shared" si="111"/>
        <v>88</v>
      </c>
      <c r="AV97" s="542">
        <f t="shared" si="123"/>
        <v>0.95201529108720651</v>
      </c>
      <c r="AW97" s="551">
        <f t="shared" si="112"/>
        <v>126.26331183287915</v>
      </c>
      <c r="AX97" s="551">
        <f t="shared" si="113"/>
        <v>34.449622956982445</v>
      </c>
      <c r="AY97" s="9"/>
      <c r="AZ97" s="4">
        <f t="shared" si="124"/>
        <v>95.201529108720649</v>
      </c>
      <c r="BA97" s="360">
        <f t="shared" si="114"/>
        <v>0.39993652395731455</v>
      </c>
      <c r="BB97" s="360">
        <f t="shared" si="125"/>
        <v>3.4540112618413317</v>
      </c>
      <c r="BC97" s="360">
        <f t="shared" si="126"/>
        <v>2.5252662366575831</v>
      </c>
      <c r="BD97" s="360">
        <f t="shared" si="127"/>
        <v>0.90656902518374849</v>
      </c>
      <c r="BE97" s="360">
        <f t="shared" si="128"/>
        <v>7.7470554813751147E-2</v>
      </c>
      <c r="BK97" s="18"/>
      <c r="BL97" s="19"/>
    </row>
    <row r="98" spans="7:64" x14ac:dyDescent="0.2">
      <c r="G98">
        <v>89</v>
      </c>
      <c r="H98" s="548">
        <f t="shared" si="82"/>
        <v>21</v>
      </c>
      <c r="I98" s="4">
        <f t="shared" si="83"/>
        <v>1</v>
      </c>
      <c r="J98" s="360">
        <f t="shared" si="115"/>
        <v>4.45</v>
      </c>
      <c r="K98" s="4">
        <f t="shared" si="84"/>
        <v>4.7089947089947088</v>
      </c>
      <c r="L98" s="4"/>
      <c r="M98" s="360">
        <f t="shared" si="85"/>
        <v>0.95450482032260864</v>
      </c>
      <c r="N98" s="4">
        <f t="shared" si="86"/>
        <v>0.30259393645593852</v>
      </c>
      <c r="O98" s="4">
        <f t="shared" si="116"/>
        <v>4.6012969682279694</v>
      </c>
      <c r="P98" s="4">
        <f t="shared" si="117"/>
        <v>4.2987030317720309</v>
      </c>
      <c r="Q98" s="4">
        <f t="shared" si="87"/>
        <v>0</v>
      </c>
      <c r="R98" s="4">
        <f t="shared" si="88"/>
        <v>4.4508572497364662</v>
      </c>
      <c r="S98" s="360">
        <f t="shared" si="89"/>
        <v>9.9050651287658303E-2</v>
      </c>
      <c r="T98" s="360">
        <f t="shared" si="90"/>
        <v>0.3</v>
      </c>
      <c r="U98" s="360">
        <f t="shared" si="91"/>
        <v>0.40223800620665168</v>
      </c>
      <c r="V98" s="4">
        <f t="shared" si="118"/>
        <v>8.7351345333992317E-2</v>
      </c>
      <c r="W98" s="360">
        <f t="shared" si="92"/>
        <v>1.5260515063316761E-5</v>
      </c>
      <c r="X98" s="360">
        <f t="shared" si="119"/>
        <v>1.5260515063316761E-5</v>
      </c>
      <c r="Y98" s="4">
        <f t="shared" si="93"/>
        <v>0.92750320892915727</v>
      </c>
      <c r="Z98" s="360">
        <f t="shared" si="120"/>
        <v>8.6026220257388398E-4</v>
      </c>
      <c r="AA98" s="541">
        <f t="shared" si="121"/>
        <v>8.6026220257388398E-4</v>
      </c>
      <c r="AB98" s="360">
        <f t="shared" si="94"/>
        <v>4.3484324557284699</v>
      </c>
      <c r="AC98" s="360">
        <f t="shared" si="95"/>
        <v>0.1134531889321964</v>
      </c>
      <c r="AD98" s="360">
        <f t="shared" si="96"/>
        <v>0.33233645122942113</v>
      </c>
      <c r="AE98" s="360">
        <f t="shared" si="97"/>
        <v>0.6042329999999998</v>
      </c>
      <c r="AF98" s="360">
        <f t="shared" si="98"/>
        <v>0</v>
      </c>
      <c r="AG98" s="360">
        <f t="shared" si="99"/>
        <v>1.0684479010419476</v>
      </c>
      <c r="AH98" s="360">
        <f t="shared" si="100"/>
        <v>0.94935000684622639</v>
      </c>
      <c r="AI98" s="360">
        <f t="shared" si="101"/>
        <v>2.2531635887473255E-3</v>
      </c>
      <c r="AJ98" s="360">
        <f t="shared" si="102"/>
        <v>0.17444000000000001</v>
      </c>
      <c r="AK98" s="360">
        <f t="shared" si="103"/>
        <v>0.17677282320649312</v>
      </c>
      <c r="AL98" s="360">
        <f t="shared" si="104"/>
        <v>0.17444000000000001</v>
      </c>
      <c r="AM98" s="360">
        <f t="shared" si="105"/>
        <v>2.2427999999999999</v>
      </c>
      <c r="AN98" s="360">
        <f t="shared" si="106"/>
        <v>7.9240521030126645E-2</v>
      </c>
      <c r="AO98" s="360">
        <f t="shared" si="107"/>
        <v>7.3499999999999998E-4</v>
      </c>
      <c r="AP98" s="360">
        <f t="shared" si="108"/>
        <v>0.32999999999999996</v>
      </c>
      <c r="AQ98" s="360">
        <f t="shared" si="109"/>
        <v>1.2539999999999998</v>
      </c>
      <c r="AR98" s="360">
        <f t="shared" si="110"/>
        <v>1.0559999999999998</v>
      </c>
      <c r="AS98" s="360">
        <f t="shared" si="129"/>
        <v>0.33073499999999995</v>
      </c>
      <c r="AT98" s="360">
        <f t="shared" si="122"/>
        <v>4.4755497742028565</v>
      </c>
      <c r="AU98">
        <f t="shared" si="111"/>
        <v>89</v>
      </c>
      <c r="AV98" s="542">
        <f t="shared" si="123"/>
        <v>0.95212063705413996</v>
      </c>
      <c r="AW98" s="551">
        <f t="shared" si="112"/>
        <v>127.43479505209739</v>
      </c>
      <c r="AX98" s="551">
        <f t="shared" si="113"/>
        <v>34.842079281846736</v>
      </c>
      <c r="AY98" s="9"/>
      <c r="AZ98" s="4">
        <f t="shared" si="124"/>
        <v>95.212063705413996</v>
      </c>
      <c r="BA98" s="360">
        <f t="shared" si="114"/>
        <v>0.40223800620665168</v>
      </c>
      <c r="BB98" s="360">
        <f t="shared" si="125"/>
        <v>3.4880207242484405</v>
      </c>
      <c r="BC98" s="360">
        <f t="shared" si="126"/>
        <v>2.5486959010419477</v>
      </c>
      <c r="BD98" s="360">
        <f t="shared" si="127"/>
        <v>0.91689682320649313</v>
      </c>
      <c r="BE98" s="360">
        <f t="shared" si="128"/>
        <v>7.9240521030126645E-2</v>
      </c>
      <c r="BK98" s="18"/>
      <c r="BL98" s="19"/>
    </row>
    <row r="99" spans="7:64" x14ac:dyDescent="0.2">
      <c r="G99">
        <v>90</v>
      </c>
      <c r="H99" s="548">
        <f t="shared" si="82"/>
        <v>21</v>
      </c>
      <c r="I99" s="4">
        <f t="shared" si="83"/>
        <v>1</v>
      </c>
      <c r="J99" s="360">
        <f t="shared" si="115"/>
        <v>4.5</v>
      </c>
      <c r="K99" s="4">
        <f t="shared" si="84"/>
        <v>4.761904761904761</v>
      </c>
      <c r="L99" s="4"/>
      <c r="M99" s="360">
        <f t="shared" si="85"/>
        <v>0.95452868145079683</v>
      </c>
      <c r="N99" s="4">
        <f t="shared" si="86"/>
        <v>0.30242650390632803</v>
      </c>
      <c r="O99" s="4">
        <f t="shared" si="116"/>
        <v>4.6512132519531644</v>
      </c>
      <c r="P99" s="4">
        <f t="shared" si="117"/>
        <v>4.3487867480468356</v>
      </c>
      <c r="Q99" s="4">
        <f t="shared" si="87"/>
        <v>0</v>
      </c>
      <c r="R99" s="4">
        <f t="shared" si="88"/>
        <v>4.5008467887560242</v>
      </c>
      <c r="S99" s="360">
        <f t="shared" si="89"/>
        <v>0.10128810907927709</v>
      </c>
      <c r="T99" s="360">
        <f t="shared" si="90"/>
        <v>0.3</v>
      </c>
      <c r="U99" s="360">
        <f t="shared" si="91"/>
        <v>0.40456632976237905</v>
      </c>
      <c r="V99" s="4">
        <f t="shared" si="118"/>
        <v>8.7303011720197957E-2</v>
      </c>
      <c r="W99" s="360">
        <f t="shared" si="92"/>
        <v>1.5243631710834043E-5</v>
      </c>
      <c r="X99" s="360">
        <f t="shared" si="119"/>
        <v>1.5243631710834043E-5</v>
      </c>
      <c r="Y99" s="4">
        <f t="shared" si="93"/>
        <v>0.93768613567964343</v>
      </c>
      <c r="Z99" s="360">
        <f t="shared" si="120"/>
        <v>8.7925528904582266E-4</v>
      </c>
      <c r="AA99" s="541">
        <f t="shared" si="121"/>
        <v>8.7925528904582266E-4</v>
      </c>
      <c r="AB99" s="360">
        <f t="shared" si="94"/>
        <v>4.39732657886782</v>
      </c>
      <c r="AC99" s="360">
        <f t="shared" si="95"/>
        <v>0.11601888624730419</v>
      </c>
      <c r="AD99" s="360">
        <f t="shared" si="96"/>
        <v>0.33607056865896517</v>
      </c>
      <c r="AE99" s="360">
        <f t="shared" si="97"/>
        <v>0.6042329999999998</v>
      </c>
      <c r="AF99" s="360">
        <f t="shared" si="98"/>
        <v>0</v>
      </c>
      <c r="AG99" s="360">
        <f t="shared" si="99"/>
        <v>1.0752849662622703</v>
      </c>
      <c r="AH99" s="360">
        <f t="shared" si="100"/>
        <v>0.95976079032123884</v>
      </c>
      <c r="AI99" s="360">
        <f t="shared" si="101"/>
        <v>2.3028519365951225E-3</v>
      </c>
      <c r="AJ99" s="360">
        <f t="shared" si="102"/>
        <v>0.1764</v>
      </c>
      <c r="AK99" s="360">
        <f t="shared" si="103"/>
        <v>0.17878519510315069</v>
      </c>
      <c r="AL99" s="360">
        <f t="shared" si="104"/>
        <v>0.1764</v>
      </c>
      <c r="AM99" s="360">
        <f t="shared" si="105"/>
        <v>2.2679999999999998</v>
      </c>
      <c r="AN99" s="360">
        <f t="shared" si="106"/>
        <v>8.1030487263421658E-2</v>
      </c>
      <c r="AO99" s="360">
        <f t="shared" si="107"/>
        <v>7.3499999999999998E-4</v>
      </c>
      <c r="AP99" s="360">
        <f t="shared" si="108"/>
        <v>0.32999999999999996</v>
      </c>
      <c r="AQ99" s="360">
        <f t="shared" si="109"/>
        <v>1.2539999999999998</v>
      </c>
      <c r="AR99" s="360">
        <f t="shared" si="110"/>
        <v>1.0559999999999998</v>
      </c>
      <c r="AS99" s="360">
        <f t="shared" si="129"/>
        <v>0.33073499999999995</v>
      </c>
      <c r="AT99" s="360">
        <f t="shared" si="122"/>
        <v>4.5156964773119785</v>
      </c>
      <c r="AU99">
        <f t="shared" si="111"/>
        <v>90</v>
      </c>
      <c r="AV99" s="542">
        <f t="shared" si="123"/>
        <v>0.95222278790067483</v>
      </c>
      <c r="AW99" s="551">
        <f t="shared" si="112"/>
        <v>128.60824831311351</v>
      </c>
      <c r="AX99" s="551">
        <f t="shared" si="113"/>
        <v>35.234557413919724</v>
      </c>
      <c r="AY99" s="9"/>
      <c r="AZ99" s="4">
        <f t="shared" si="124"/>
        <v>95.222278790067477</v>
      </c>
      <c r="BA99" s="360">
        <f t="shared" si="114"/>
        <v>0.40456632976237905</v>
      </c>
      <c r="BB99" s="360">
        <f t="shared" si="125"/>
        <v>3.5220701613654208</v>
      </c>
      <c r="BC99" s="360">
        <f t="shared" si="126"/>
        <v>2.5721649662622701</v>
      </c>
      <c r="BD99" s="360">
        <f t="shared" si="127"/>
        <v>0.92722519510315071</v>
      </c>
      <c r="BE99" s="360">
        <f t="shared" si="128"/>
        <v>8.1030487263421658E-2</v>
      </c>
      <c r="BK99" s="18"/>
      <c r="BL99" s="19"/>
    </row>
    <row r="100" spans="7:64" x14ac:dyDescent="0.2">
      <c r="G100">
        <v>91</v>
      </c>
      <c r="H100" s="548">
        <f t="shared" si="82"/>
        <v>21</v>
      </c>
      <c r="I100" s="4">
        <f t="shared" si="83"/>
        <v>1</v>
      </c>
      <c r="J100" s="360">
        <f t="shared" si="115"/>
        <v>4.55</v>
      </c>
      <c r="K100" s="4">
        <f t="shared" si="84"/>
        <v>4.814814814814814</v>
      </c>
      <c r="L100" s="4"/>
      <c r="M100" s="360">
        <f t="shared" si="85"/>
        <v>0.95455254252217914</v>
      </c>
      <c r="N100" s="4">
        <f t="shared" si="86"/>
        <v>0.30225906258964841</v>
      </c>
      <c r="O100" s="4">
        <f t="shared" si="116"/>
        <v>4.701129531294824</v>
      </c>
      <c r="P100" s="4">
        <f t="shared" si="117"/>
        <v>4.3988704687051756</v>
      </c>
      <c r="Q100" s="4">
        <f t="shared" si="87"/>
        <v>0</v>
      </c>
      <c r="R100" s="4">
        <f t="shared" si="88"/>
        <v>4.5508365580857539</v>
      </c>
      <c r="S100" s="360">
        <f t="shared" si="89"/>
        <v>0.10355056689204896</v>
      </c>
      <c r="T100" s="360">
        <f t="shared" si="90"/>
        <v>0.3</v>
      </c>
      <c r="U100" s="360">
        <f t="shared" si="91"/>
        <v>0.40692152324505709</v>
      </c>
      <c r="V100" s="4">
        <f t="shared" si="118"/>
        <v>8.7254675575568735E-2</v>
      </c>
      <c r="W100" s="360">
        <f t="shared" si="92"/>
        <v>1.5226756819595503E-5</v>
      </c>
      <c r="X100" s="360">
        <f t="shared" si="119"/>
        <v>1.5226756819595503E-5</v>
      </c>
      <c r="Y100" s="4">
        <f t="shared" si="93"/>
        <v>0.94786383538699726</v>
      </c>
      <c r="Z100" s="360">
        <f t="shared" si="120"/>
        <v>8.9844585043454862E-4</v>
      </c>
      <c r="AA100" s="541">
        <f t="shared" si="121"/>
        <v>8.9844585043454862E-4</v>
      </c>
      <c r="AB100" s="360">
        <f t="shared" si="94"/>
        <v>4.4462221470911309</v>
      </c>
      <c r="AC100" s="360">
        <f t="shared" si="95"/>
        <v>0.11861334828770199</v>
      </c>
      <c r="AD100" s="360">
        <f t="shared" si="96"/>
        <v>0.33980468608850922</v>
      </c>
      <c r="AE100" s="360">
        <f t="shared" si="97"/>
        <v>0.6042329999999998</v>
      </c>
      <c r="AF100" s="360">
        <f t="shared" si="98"/>
        <v>0</v>
      </c>
      <c r="AG100" s="360">
        <f t="shared" si="99"/>
        <v>1.0821615731279133</v>
      </c>
      <c r="AH100" s="360">
        <f t="shared" si="100"/>
        <v>0.97016596370215347</v>
      </c>
      <c r="AI100" s="360">
        <f t="shared" si="101"/>
        <v>2.3530549928153207E-3</v>
      </c>
      <c r="AJ100" s="360">
        <f t="shared" si="102"/>
        <v>0.17835999999999999</v>
      </c>
      <c r="AK100" s="360">
        <f t="shared" si="103"/>
        <v>0.18079814058629498</v>
      </c>
      <c r="AL100" s="360">
        <f t="shared" si="104"/>
        <v>0.17835999999999999</v>
      </c>
      <c r="AM100" s="360">
        <f t="shared" si="105"/>
        <v>2.2931999999999997</v>
      </c>
      <c r="AN100" s="360">
        <f t="shared" si="106"/>
        <v>8.2840453513639167E-2</v>
      </c>
      <c r="AO100" s="360">
        <f t="shared" si="107"/>
        <v>7.3499999999999998E-4</v>
      </c>
      <c r="AP100" s="360">
        <f t="shared" si="108"/>
        <v>0.32999999999999996</v>
      </c>
      <c r="AQ100" s="360">
        <f t="shared" si="109"/>
        <v>1.2539999999999998</v>
      </c>
      <c r="AR100" s="360">
        <f t="shared" si="110"/>
        <v>1.0559999999999998</v>
      </c>
      <c r="AS100" s="360">
        <f t="shared" si="129"/>
        <v>0.33073499999999995</v>
      </c>
      <c r="AT100" s="360">
        <f t="shared" si="122"/>
        <v>4.555930363080158</v>
      </c>
      <c r="AU100">
        <f t="shared" si="111"/>
        <v>91</v>
      </c>
      <c r="AV100" s="542">
        <f t="shared" si="123"/>
        <v>0.95232184600401903</v>
      </c>
      <c r="AW100" s="551">
        <f t="shared" si="112"/>
        <v>129.78367865639567</v>
      </c>
      <c r="AX100" s="551">
        <f t="shared" si="113"/>
        <v>35.627057342279208</v>
      </c>
      <c r="AY100" s="9"/>
      <c r="AZ100" s="4">
        <f t="shared" si="124"/>
        <v>95.232184600401908</v>
      </c>
      <c r="BA100" s="360">
        <f t="shared" si="114"/>
        <v>0.40692152324505709</v>
      </c>
      <c r="BB100" s="360">
        <f t="shared" si="125"/>
        <v>3.5561597137142078</v>
      </c>
      <c r="BC100" s="360">
        <f t="shared" si="126"/>
        <v>2.5956735731279132</v>
      </c>
      <c r="BD100" s="360">
        <f t="shared" si="127"/>
        <v>0.93755414058629494</v>
      </c>
      <c r="BE100" s="360">
        <f t="shared" si="128"/>
        <v>8.2840453513639167E-2</v>
      </c>
      <c r="BK100" s="18"/>
      <c r="BL100" s="19"/>
    </row>
    <row r="101" spans="7:64" x14ac:dyDescent="0.2">
      <c r="G101">
        <v>92</v>
      </c>
      <c r="H101" s="548">
        <f t="shared" si="82"/>
        <v>21</v>
      </c>
      <c r="I101" s="4">
        <f t="shared" si="83"/>
        <v>1</v>
      </c>
      <c r="J101" s="360">
        <f t="shared" si="115"/>
        <v>4.5999999999999996</v>
      </c>
      <c r="K101" s="4">
        <f t="shared" si="84"/>
        <v>4.867724867724867</v>
      </c>
      <c r="L101" s="4"/>
      <c r="M101" s="360">
        <f t="shared" si="85"/>
        <v>0.95457640353675544</v>
      </c>
      <c r="N101" s="4">
        <f t="shared" si="86"/>
        <v>0.30209161250593208</v>
      </c>
      <c r="O101" s="4">
        <f t="shared" si="116"/>
        <v>4.7510458062529661</v>
      </c>
      <c r="P101" s="4">
        <f t="shared" si="117"/>
        <v>4.4489541937470332</v>
      </c>
      <c r="Q101" s="4">
        <f t="shared" si="87"/>
        <v>0</v>
      </c>
      <c r="R101" s="4">
        <f t="shared" si="88"/>
        <v>4.6008265502185077</v>
      </c>
      <c r="S101" s="360">
        <f t="shared" si="89"/>
        <v>0.10583802472597768</v>
      </c>
      <c r="T101" s="360">
        <f t="shared" si="90"/>
        <v>0.3</v>
      </c>
      <c r="U101" s="360">
        <f t="shared" si="91"/>
        <v>0.40930361562122175</v>
      </c>
      <c r="V101" s="4">
        <f t="shared" si="118"/>
        <v>8.7206336900114007E-2</v>
      </c>
      <c r="W101" s="360">
        <f t="shared" si="92"/>
        <v>1.5209890391072372E-5</v>
      </c>
      <c r="X101" s="360">
        <f t="shared" si="119"/>
        <v>1.5209890391072372E-5</v>
      </c>
      <c r="Y101" s="4">
        <f t="shared" si="93"/>
        <v>0.95803630405614149</v>
      </c>
      <c r="Z101" s="360">
        <f t="shared" si="120"/>
        <v>9.1783355988955167E-4</v>
      </c>
      <c r="AA101" s="541">
        <f t="shared" si="121"/>
        <v>9.1783355988955167E-4</v>
      </c>
      <c r="AB101" s="360">
        <f t="shared" si="94"/>
        <v>4.4951191530449552</v>
      </c>
      <c r="AC101" s="360">
        <f t="shared" si="95"/>
        <v>0.12123657720042957</v>
      </c>
      <c r="AD101" s="360">
        <f t="shared" si="96"/>
        <v>0.34353880351805327</v>
      </c>
      <c r="AE101" s="360">
        <f t="shared" si="97"/>
        <v>0.6042329999999998</v>
      </c>
      <c r="AF101" s="360">
        <f t="shared" si="98"/>
        <v>0</v>
      </c>
      <c r="AG101" s="360">
        <f t="shared" si="99"/>
        <v>1.0890778637391656</v>
      </c>
      <c r="AH101" s="360">
        <f t="shared" si="100"/>
        <v>0.98056552311609557</v>
      </c>
      <c r="AI101" s="360">
        <f t="shared" si="101"/>
        <v>2.4037718628098555E-3</v>
      </c>
      <c r="AJ101" s="360">
        <f t="shared" si="102"/>
        <v>0.18031999999999998</v>
      </c>
      <c r="AK101" s="360">
        <f t="shared" si="103"/>
        <v>0.18281165936740604</v>
      </c>
      <c r="AL101" s="360">
        <f t="shared" si="104"/>
        <v>0.18031999999999998</v>
      </c>
      <c r="AM101" s="360">
        <f t="shared" si="105"/>
        <v>2.3183999999999996</v>
      </c>
      <c r="AN101" s="360">
        <f t="shared" si="106"/>
        <v>8.4670419780782144E-2</v>
      </c>
      <c r="AO101" s="360">
        <f t="shared" si="107"/>
        <v>7.3499999999999998E-4</v>
      </c>
      <c r="AP101" s="360">
        <f t="shared" si="108"/>
        <v>0.32999999999999996</v>
      </c>
      <c r="AQ101" s="360">
        <f t="shared" si="109"/>
        <v>1.2539999999999998</v>
      </c>
      <c r="AR101" s="360">
        <f t="shared" si="110"/>
        <v>1.0559999999999998</v>
      </c>
      <c r="AS101" s="360">
        <f t="shared" si="129"/>
        <v>0.33073499999999995</v>
      </c>
      <c r="AT101" s="360">
        <f t="shared" si="122"/>
        <v>4.5962516019588548</v>
      </c>
      <c r="AU101">
        <f t="shared" si="111"/>
        <v>92</v>
      </c>
      <c r="AV101" s="542">
        <f t="shared" si="123"/>
        <v>0.95241790933152892</v>
      </c>
      <c r="AW101" s="551">
        <f t="shared" si="112"/>
        <v>130.96109318695827</v>
      </c>
      <c r="AX101" s="551">
        <f t="shared" si="113"/>
        <v>36.019579055961422</v>
      </c>
      <c r="AY101" s="9"/>
      <c r="AZ101" s="4">
        <f t="shared" si="124"/>
        <v>95.241790933152899</v>
      </c>
      <c r="BA101" s="360">
        <f t="shared" si="114"/>
        <v>0.40930361562122175</v>
      </c>
      <c r="BB101" s="360">
        <f t="shared" si="125"/>
        <v>3.5902895231065712</v>
      </c>
      <c r="BC101" s="360">
        <f t="shared" si="126"/>
        <v>2.6192218637391651</v>
      </c>
      <c r="BD101" s="360">
        <f t="shared" si="127"/>
        <v>0.94788365936740593</v>
      </c>
      <c r="BE101" s="360">
        <f t="shared" si="128"/>
        <v>8.4670419780782144E-2</v>
      </c>
      <c r="BK101" s="18"/>
      <c r="BL101" s="19"/>
    </row>
    <row r="102" spans="7:64" x14ac:dyDescent="0.2">
      <c r="G102">
        <v>93</v>
      </c>
      <c r="H102" s="548">
        <f t="shared" si="82"/>
        <v>21</v>
      </c>
      <c r="I102" s="4">
        <f t="shared" si="83"/>
        <v>1</v>
      </c>
      <c r="J102" s="360">
        <f t="shared" si="115"/>
        <v>4.6500000000000004</v>
      </c>
      <c r="K102" s="4">
        <f t="shared" si="84"/>
        <v>4.92063492063492</v>
      </c>
      <c r="L102" s="4"/>
      <c r="M102" s="360">
        <f t="shared" si="85"/>
        <v>0.95460026449452628</v>
      </c>
      <c r="N102" s="4">
        <f t="shared" si="86"/>
        <v>0.30192415365521047</v>
      </c>
      <c r="O102" s="4">
        <f t="shared" si="116"/>
        <v>4.8009620768276058</v>
      </c>
      <c r="P102" s="4">
        <f t="shared" si="117"/>
        <v>4.4990379231723949</v>
      </c>
      <c r="Q102" s="4">
        <f t="shared" si="87"/>
        <v>0</v>
      </c>
      <c r="R102" s="4">
        <f t="shared" si="88"/>
        <v>4.6508167579698698</v>
      </c>
      <c r="S102" s="360">
        <f t="shared" si="89"/>
        <v>0.10815048258106685</v>
      </c>
      <c r="T102" s="360">
        <f t="shared" si="90"/>
        <v>0.3</v>
      </c>
      <c r="U102" s="360">
        <f t="shared" si="91"/>
        <v>0.41171263620428417</v>
      </c>
      <c r="V102" s="4">
        <f t="shared" si="118"/>
        <v>8.715799569384286E-2</v>
      </c>
      <c r="W102" s="360">
        <f t="shared" si="92"/>
        <v>1.519303242673586E-5</v>
      </c>
      <c r="X102" s="360">
        <f t="shared" si="119"/>
        <v>1.519303242673586E-5</v>
      </c>
      <c r="Y102" s="4">
        <f t="shared" si="93"/>
        <v>0.96820353775831114</v>
      </c>
      <c r="Z102" s="360">
        <f t="shared" si="120"/>
        <v>9.3741809052770944E-4</v>
      </c>
      <c r="AA102" s="541">
        <f t="shared" si="121"/>
        <v>9.3741809052770944E-4</v>
      </c>
      <c r="AB102" s="360">
        <f t="shared" si="94"/>
        <v>4.544017589690803</v>
      </c>
      <c r="AC102" s="360">
        <f t="shared" si="95"/>
        <v>0.1238885751325165</v>
      </c>
      <c r="AD102" s="360">
        <f t="shared" si="96"/>
        <v>0.34727292094759732</v>
      </c>
      <c r="AE102" s="360">
        <f t="shared" si="97"/>
        <v>0.6042329999999998</v>
      </c>
      <c r="AF102" s="360">
        <f t="shared" si="98"/>
        <v>0</v>
      </c>
      <c r="AG102" s="360">
        <f t="shared" si="99"/>
        <v>1.0960339814963018</v>
      </c>
      <c r="AH102" s="360">
        <f t="shared" si="100"/>
        <v>0.99095946475824903</v>
      </c>
      <c r="AI102" s="360">
        <f t="shared" si="101"/>
        <v>2.4550016519848884E-3</v>
      </c>
      <c r="AJ102" s="360">
        <f t="shared" si="102"/>
        <v>0.18228</v>
      </c>
      <c r="AK102" s="360">
        <f t="shared" si="103"/>
        <v>0.18482575115686878</v>
      </c>
      <c r="AL102" s="360">
        <f t="shared" si="104"/>
        <v>0.18228</v>
      </c>
      <c r="AM102" s="360">
        <f t="shared" si="105"/>
        <v>2.3435999999999999</v>
      </c>
      <c r="AN102" s="360">
        <f t="shared" si="106"/>
        <v>8.6520386064853488E-2</v>
      </c>
      <c r="AO102" s="360">
        <f t="shared" si="107"/>
        <v>7.3499999999999998E-4</v>
      </c>
      <c r="AP102" s="360">
        <f t="shared" si="108"/>
        <v>0.32999999999999996</v>
      </c>
      <c r="AQ102" s="360">
        <f t="shared" si="109"/>
        <v>1.2539999999999998</v>
      </c>
      <c r="AR102" s="360">
        <f t="shared" si="110"/>
        <v>1.0559999999999998</v>
      </c>
      <c r="AS102" s="360">
        <f t="shared" si="129"/>
        <v>0.33073499999999995</v>
      </c>
      <c r="AT102" s="360">
        <f t="shared" si="122"/>
        <v>4.6366603660452617</v>
      </c>
      <c r="AU102">
        <f t="shared" si="111"/>
        <v>93</v>
      </c>
      <c r="AV102" s="542">
        <f t="shared" si="123"/>
        <v>0.95251107167469506</v>
      </c>
      <c r="AW102" s="551">
        <f t="shared" si="112"/>
        <v>132.1404990748151</v>
      </c>
      <c r="AX102" s="551">
        <f t="shared" si="113"/>
        <v>36.412122543961011</v>
      </c>
      <c r="AY102" s="9"/>
      <c r="AZ102" s="4">
        <f t="shared" si="124"/>
        <v>95.251107167469513</v>
      </c>
      <c r="BA102" s="360">
        <f t="shared" si="114"/>
        <v>0.41171263620428417</v>
      </c>
      <c r="BB102" s="360">
        <f t="shared" si="125"/>
        <v>3.6244597326531705</v>
      </c>
      <c r="BC102" s="360">
        <f t="shared" si="126"/>
        <v>2.6428099814963018</v>
      </c>
      <c r="BD102" s="360">
        <f t="shared" si="127"/>
        <v>0.95821375115686869</v>
      </c>
      <c r="BE102" s="360">
        <f t="shared" si="128"/>
        <v>8.6520386064853488E-2</v>
      </c>
      <c r="BK102" s="18"/>
      <c r="BL102" s="19"/>
    </row>
    <row r="103" spans="7:64" x14ac:dyDescent="0.2">
      <c r="G103">
        <v>94</v>
      </c>
      <c r="H103" s="548">
        <f t="shared" si="82"/>
        <v>21</v>
      </c>
      <c r="I103" s="4">
        <f t="shared" si="83"/>
        <v>1</v>
      </c>
      <c r="J103" s="360">
        <f t="shared" si="115"/>
        <v>4.7</v>
      </c>
      <c r="K103" s="4">
        <f t="shared" si="84"/>
        <v>4.973544973544973</v>
      </c>
      <c r="L103" s="4"/>
      <c r="M103" s="360">
        <f t="shared" si="85"/>
        <v>0.95462412539549146</v>
      </c>
      <c r="N103" s="4">
        <f t="shared" si="86"/>
        <v>0.30175668603751477</v>
      </c>
      <c r="O103" s="4">
        <f t="shared" si="116"/>
        <v>4.8508783430187572</v>
      </c>
      <c r="P103" s="4">
        <f t="shared" si="117"/>
        <v>4.5491216569812432</v>
      </c>
      <c r="Q103" s="4">
        <f t="shared" si="87"/>
        <v>0</v>
      </c>
      <c r="R103" s="4">
        <f t="shared" si="88"/>
        <v>4.7008071744610023</v>
      </c>
      <c r="S103" s="360">
        <f t="shared" si="89"/>
        <v>0.11048794045732016</v>
      </c>
      <c r="T103" s="360">
        <f t="shared" si="90"/>
        <v>0.3</v>
      </c>
      <c r="U103" s="360">
        <f t="shared" si="91"/>
        <v>0.41414861465544273</v>
      </c>
      <c r="V103" s="4">
        <f t="shared" si="118"/>
        <v>8.7109651956764275E-2</v>
      </c>
      <c r="W103" s="360">
        <f t="shared" si="92"/>
        <v>1.5176182928057213E-5</v>
      </c>
      <c r="X103" s="360">
        <f t="shared" si="119"/>
        <v>1.5176182928057213E-5</v>
      </c>
      <c r="Y103" s="4">
        <f t="shared" si="93"/>
        <v>0.9783655326274121</v>
      </c>
      <c r="Z103" s="360">
        <f t="shared" si="120"/>
        <v>9.5719911543331985E-4</v>
      </c>
      <c r="AA103" s="541">
        <f t="shared" si="121"/>
        <v>9.5719911543331985E-4</v>
      </c>
      <c r="AB103" s="360">
        <f t="shared" si="94"/>
        <v>4.5929174502883985</v>
      </c>
      <c r="AC103" s="360">
        <f t="shared" si="95"/>
        <v>0.12656934423098209</v>
      </c>
      <c r="AD103" s="360">
        <f t="shared" si="96"/>
        <v>0.35100703837714137</v>
      </c>
      <c r="AE103" s="360">
        <f t="shared" si="97"/>
        <v>0.6042329999999998</v>
      </c>
      <c r="AF103" s="360">
        <f t="shared" si="98"/>
        <v>0</v>
      </c>
      <c r="AG103" s="360">
        <f t="shared" si="99"/>
        <v>1.1030300711087508</v>
      </c>
      <c r="AH103" s="360">
        <f t="shared" si="100"/>
        <v>1.0013477848881243</v>
      </c>
      <c r="AI103" s="360">
        <f t="shared" si="101"/>
        <v>2.5067434657508833E-3</v>
      </c>
      <c r="AJ103" s="360">
        <f t="shared" si="102"/>
        <v>0.18424000000000001</v>
      </c>
      <c r="AK103" s="360">
        <f t="shared" si="103"/>
        <v>0.18684041566397167</v>
      </c>
      <c r="AL103" s="360">
        <f t="shared" si="104"/>
        <v>0.18424000000000001</v>
      </c>
      <c r="AM103" s="360">
        <f t="shared" si="105"/>
        <v>2.3687999999999998</v>
      </c>
      <c r="AN103" s="360">
        <f t="shared" si="106"/>
        <v>8.8390352365856129E-2</v>
      </c>
      <c r="AO103" s="360">
        <f t="shared" si="107"/>
        <v>7.3499999999999998E-4</v>
      </c>
      <c r="AP103" s="360">
        <f t="shared" si="108"/>
        <v>0.32999999999999996</v>
      </c>
      <c r="AQ103" s="360">
        <f t="shared" si="109"/>
        <v>1.2539999999999998</v>
      </c>
      <c r="AR103" s="360">
        <f t="shared" si="110"/>
        <v>1.0559999999999998</v>
      </c>
      <c r="AS103" s="360">
        <f t="shared" si="129"/>
        <v>0.33073499999999995</v>
      </c>
      <c r="AT103" s="360">
        <f t="shared" si="122"/>
        <v>4.6771568290923824</v>
      </c>
      <c r="AU103">
        <f t="shared" si="111"/>
        <v>94</v>
      </c>
      <c r="AV103" s="542">
        <f t="shared" si="123"/>
        <v>0.95260142286838323</v>
      </c>
      <c r="AW103" s="551">
        <f t="shared" si="112"/>
        <v>133.32190355543753</v>
      </c>
      <c r="AX103" s="551">
        <f t="shared" si="113"/>
        <v>36.804687795230926</v>
      </c>
      <c r="AY103" s="9"/>
      <c r="AZ103" s="4">
        <f t="shared" si="124"/>
        <v>95.260142286838317</v>
      </c>
      <c r="BA103" s="360">
        <f t="shared" si="114"/>
        <v>0.41414861465544273</v>
      </c>
      <c r="BB103" s="360">
        <f t="shared" si="125"/>
        <v>3.6586704867727224</v>
      </c>
      <c r="BC103" s="360">
        <f t="shared" si="126"/>
        <v>2.6664380711087508</v>
      </c>
      <c r="BD103" s="360">
        <f t="shared" si="127"/>
        <v>0.96854441566397165</v>
      </c>
      <c r="BE103" s="360">
        <f t="shared" si="128"/>
        <v>8.8390352365856129E-2</v>
      </c>
      <c r="BK103" s="18"/>
      <c r="BL103" s="19"/>
    </row>
    <row r="104" spans="7:64" x14ac:dyDescent="0.2">
      <c r="G104">
        <v>95</v>
      </c>
      <c r="H104" s="548">
        <f t="shared" si="82"/>
        <v>21</v>
      </c>
      <c r="I104" s="4">
        <f t="shared" si="83"/>
        <v>1</v>
      </c>
      <c r="J104" s="360">
        <f t="shared" si="115"/>
        <v>4.75</v>
      </c>
      <c r="K104" s="4">
        <f t="shared" si="84"/>
        <v>5.0264550264550261</v>
      </c>
      <c r="L104" s="4"/>
      <c r="M104" s="360">
        <f t="shared" si="85"/>
        <v>0.95464798623965141</v>
      </c>
      <c r="N104" s="4">
        <f t="shared" si="86"/>
        <v>0.30158920965287628</v>
      </c>
      <c r="O104" s="4">
        <f t="shared" si="116"/>
        <v>4.9007946048264381</v>
      </c>
      <c r="P104" s="4">
        <f t="shared" si="117"/>
        <v>4.5992053951735619</v>
      </c>
      <c r="Q104" s="4">
        <f t="shared" si="87"/>
        <v>0</v>
      </c>
      <c r="R104" s="4">
        <f t="shared" si="88"/>
        <v>4.7507977931025707</v>
      </c>
      <c r="S104" s="360">
        <f t="shared" si="89"/>
        <v>0.11285039835474128</v>
      </c>
      <c r="T104" s="360">
        <f t="shared" si="90"/>
        <v>0.3</v>
      </c>
      <c r="U104" s="360">
        <f t="shared" si="91"/>
        <v>0.41661158098460616</v>
      </c>
      <c r="V104" s="4">
        <f t="shared" si="118"/>
        <v>8.70613056888873E-2</v>
      </c>
      <c r="W104" s="360">
        <f t="shared" si="92"/>
        <v>1.515934189650776E-5</v>
      </c>
      <c r="X104" s="360">
        <f t="shared" si="119"/>
        <v>1.515934189650776E-5</v>
      </c>
      <c r="Y104" s="4">
        <f t="shared" si="93"/>
        <v>0.98852228485657823</v>
      </c>
      <c r="Z104" s="360">
        <f t="shared" si="120"/>
        <v>9.7717630765806998E-4</v>
      </c>
      <c r="AA104" s="541">
        <f t="shared" si="121"/>
        <v>9.7717630765806998E-4</v>
      </c>
      <c r="AB104" s="360">
        <f t="shared" si="94"/>
        <v>4.6418187283799917</v>
      </c>
      <c r="AC104" s="360">
        <f t="shared" si="95"/>
        <v>0.12927888664283546</v>
      </c>
      <c r="AD104" s="360">
        <f t="shared" si="96"/>
        <v>0.35474115580668547</v>
      </c>
      <c r="AE104" s="360">
        <f t="shared" si="97"/>
        <v>0.6042329999999998</v>
      </c>
      <c r="AF104" s="360">
        <f t="shared" si="98"/>
        <v>0</v>
      </c>
      <c r="AG104" s="360">
        <f t="shared" si="99"/>
        <v>1.1100662786043756</v>
      </c>
      <c r="AH104" s="360">
        <f t="shared" si="100"/>
        <v>1.0117304798260303</v>
      </c>
      <c r="AI104" s="360">
        <f t="shared" si="101"/>
        <v>2.558996409522524E-3</v>
      </c>
      <c r="AJ104" s="360">
        <f t="shared" si="102"/>
        <v>0.1862</v>
      </c>
      <c r="AK104" s="360">
        <f t="shared" si="103"/>
        <v>0.18885565259690523</v>
      </c>
      <c r="AL104" s="360">
        <f t="shared" si="104"/>
        <v>0.1862</v>
      </c>
      <c r="AM104" s="360">
        <f t="shared" si="105"/>
        <v>2.3939999999999997</v>
      </c>
      <c r="AN104" s="360">
        <f t="shared" si="106"/>
        <v>9.0280318683793034E-2</v>
      </c>
      <c r="AO104" s="360">
        <f t="shared" si="107"/>
        <v>7.3499999999999998E-4</v>
      </c>
      <c r="AP104" s="360">
        <f t="shared" si="108"/>
        <v>0.32999999999999996</v>
      </c>
      <c r="AQ104" s="360">
        <f t="shared" si="109"/>
        <v>1.2539999999999998</v>
      </c>
      <c r="AR104" s="360">
        <f t="shared" si="110"/>
        <v>1.0559999999999998</v>
      </c>
      <c r="AS104" s="360">
        <f t="shared" si="129"/>
        <v>0.33073499999999995</v>
      </c>
      <c r="AT104" s="360">
        <f t="shared" si="122"/>
        <v>4.7177411665192341</v>
      </c>
      <c r="AU104">
        <f t="shared" si="111"/>
        <v>95</v>
      </c>
      <c r="AV104" s="542">
        <f t="shared" si="123"/>
        <v>0.95268904899639628</v>
      </c>
      <c r="AW104" s="551">
        <f t="shared" si="112"/>
        <v>134.50531393021876</v>
      </c>
      <c r="AX104" s="551">
        <f t="shared" si="113"/>
        <v>37.197274798682393</v>
      </c>
      <c r="AY104" s="9"/>
      <c r="AZ104" s="4">
        <f t="shared" si="124"/>
        <v>95.268904899639622</v>
      </c>
      <c r="BA104" s="360">
        <f t="shared" si="114"/>
        <v>0.41661158098460616</v>
      </c>
      <c r="BB104" s="360">
        <f t="shared" si="125"/>
        <v>3.6929219312012806</v>
      </c>
      <c r="BC104" s="360">
        <f t="shared" si="126"/>
        <v>2.6901062786043752</v>
      </c>
      <c r="BD104" s="360">
        <f t="shared" si="127"/>
        <v>0.97887565259690512</v>
      </c>
      <c r="BE104" s="360">
        <f t="shared" si="128"/>
        <v>9.0280318683793034E-2</v>
      </c>
      <c r="BK104" s="18"/>
      <c r="BL104" s="19"/>
    </row>
    <row r="105" spans="7:64" x14ac:dyDescent="0.2">
      <c r="G105">
        <v>96</v>
      </c>
      <c r="H105" s="548">
        <f t="shared" si="82"/>
        <v>21</v>
      </c>
      <c r="I105" s="4">
        <f t="shared" si="83"/>
        <v>1</v>
      </c>
      <c r="J105" s="360">
        <f t="shared" si="115"/>
        <v>4.8</v>
      </c>
      <c r="K105" s="4">
        <f t="shared" ref="K105:K109" si="130">Vout2*J105/(Vin*Efficiency)</f>
        <v>5.0793650793650791</v>
      </c>
      <c r="L105" s="4"/>
      <c r="M105" s="360">
        <f t="shared" si="85"/>
        <v>0.95467184702700636</v>
      </c>
      <c r="N105" s="4">
        <f t="shared" ref="N105:N109" si="131">(Vin-(Rdson3+Rdcr2)*J105-Vout2)*M105/(Fsw*Lo_2)</f>
        <v>0.30142172450132637</v>
      </c>
      <c r="O105" s="4">
        <f t="shared" si="116"/>
        <v>4.9507108622506628</v>
      </c>
      <c r="P105" s="4">
        <f t="shared" si="117"/>
        <v>4.6492891377493368</v>
      </c>
      <c r="Q105" s="4">
        <f t="shared" ref="Q105:Q109" si="132">IF(MIN(Vin, -P105/(Coss_Q3+Coss_Q4)*0.00000002)&lt;0, 0, MIN(Vin, -P105/(Coss_Q3+Coss_Q4)*0.00000002))</f>
        <v>0</v>
      </c>
      <c r="R105" s="4">
        <f t="shared" si="88"/>
        <v>4.8007886075796735</v>
      </c>
      <c r="S105" s="360">
        <f t="shared" ref="S105:S109" si="133">R105^2*Rdcr2</f>
        <v>0.11523785627333391</v>
      </c>
      <c r="T105" s="360">
        <f t="shared" si="90"/>
        <v>0.3</v>
      </c>
      <c r="U105" s="360">
        <f t="shared" ref="U105:U109" si="134">(T105+S105*(1+Ltc*(Ta-25)))/(1-S105*Ltc*ThetaCa)</f>
        <v>0.41910156555132855</v>
      </c>
      <c r="V105" s="4">
        <f t="shared" si="118"/>
        <v>8.7012956890220997E-2</v>
      </c>
      <c r="W105" s="360">
        <f t="shared" ref="W105:W109" si="135">Cout2_ESR*V105^2</f>
        <v>1.5142509333558916E-5</v>
      </c>
      <c r="X105" s="360">
        <f t="shared" si="119"/>
        <v>1.5142509333558916E-5</v>
      </c>
      <c r="Y105" s="4">
        <f t="shared" si="93"/>
        <v>0.99867379069496753</v>
      </c>
      <c r="Z105" s="360">
        <f t="shared" si="120"/>
        <v>9.9734934022105578E-4</v>
      </c>
      <c r="AA105" s="541">
        <f t="shared" si="121"/>
        <v>9.9734934022105578E-4</v>
      </c>
      <c r="AB105" s="360">
        <f t="shared" si="94"/>
        <v>4.6907214177756575</v>
      </c>
      <c r="AC105" s="360">
        <f t="shared" ref="AC105:AC109" si="136">Rdson3*AB105^2</f>
        <v>0.13201720451507565</v>
      </c>
      <c r="AD105" s="360">
        <f t="shared" si="96"/>
        <v>0.35847527323622952</v>
      </c>
      <c r="AE105" s="360">
        <f t="shared" si="97"/>
        <v>0.6042329999999998</v>
      </c>
      <c r="AF105" s="360">
        <f t="shared" si="98"/>
        <v>0</v>
      </c>
      <c r="AG105" s="360">
        <f t="shared" ref="AG105:AG109" si="137">(AF105+AE105+AD105+AC105*(1+RdsonTopTc*Ta-RdsonTopTc*25))/(1-AC105*RdsonTopTc*ThetaJA_Q2)</f>
        <v>1.1171427513388625</v>
      </c>
      <c r="AH105" s="360">
        <f t="shared" si="100"/>
        <v>1.0221075459497924</v>
      </c>
      <c r="AI105" s="360">
        <f t="shared" ref="AI105:AI109" si="138">Rdson4*AH105^2</f>
        <v>2.6117595887187673E-3</v>
      </c>
      <c r="AJ105" s="360">
        <f t="shared" si="102"/>
        <v>0.18815999999999999</v>
      </c>
      <c r="AK105" s="360">
        <f t="shared" ref="AK105:AK109" si="139">(AJ105+AI105*(1+RdsonBotTc*Ta-RdsonBotTc*25))/(1-AI105*RdsonBotTc*ThetaJA_Q3)</f>
        <v>0.19087146166276084</v>
      </c>
      <c r="AL105" s="360">
        <f t="shared" si="104"/>
        <v>0.18815999999999999</v>
      </c>
      <c r="AM105" s="360">
        <f t="shared" si="105"/>
        <v>2.4192</v>
      </c>
      <c r="AN105" s="360">
        <f t="shared" si="106"/>
        <v>9.2190285018667134E-2</v>
      </c>
      <c r="AO105" s="360">
        <f t="shared" si="107"/>
        <v>7.3499999999999998E-4</v>
      </c>
      <c r="AP105" s="360">
        <f t="shared" si="108"/>
        <v>0.32999999999999996</v>
      </c>
      <c r="AQ105" s="360">
        <f t="shared" si="109"/>
        <v>1.2539999999999998</v>
      </c>
      <c r="AR105" s="360">
        <f t="shared" si="110"/>
        <v>1.0559999999999998</v>
      </c>
      <c r="AS105" s="360">
        <f t="shared" si="129"/>
        <v>0.33073499999999995</v>
      </c>
      <c r="AT105" s="360">
        <f t="shared" si="122"/>
        <v>4.7584135554211731</v>
      </c>
      <c r="AU105">
        <f t="shared" si="111"/>
        <v>96</v>
      </c>
      <c r="AV105" s="542">
        <f t="shared" si="123"/>
        <v>0.95277403258434734</v>
      </c>
      <c r="AW105" s="551">
        <f t="shared" si="112"/>
        <v>135.69073756694311</v>
      </c>
      <c r="AX105" s="551">
        <f t="shared" si="113"/>
        <v>37.589883543184911</v>
      </c>
      <c r="AY105" s="9"/>
      <c r="AZ105" s="4">
        <f t="shared" si="124"/>
        <v>95.277403258434731</v>
      </c>
      <c r="BA105" s="360">
        <f t="shared" si="114"/>
        <v>0.41910156555132855</v>
      </c>
      <c r="BB105" s="360">
        <f t="shared" si="125"/>
        <v>3.7272142130016235</v>
      </c>
      <c r="BC105" s="360">
        <f t="shared" si="126"/>
        <v>2.7138147513388624</v>
      </c>
      <c r="BD105" s="360">
        <f t="shared" si="127"/>
        <v>0.98920746166276086</v>
      </c>
      <c r="BE105" s="360">
        <f t="shared" si="128"/>
        <v>9.2190285018667134E-2</v>
      </c>
      <c r="BK105" s="18"/>
      <c r="BL105" s="19"/>
    </row>
    <row r="106" spans="7:64" x14ac:dyDescent="0.2">
      <c r="G106">
        <v>97</v>
      </c>
      <c r="H106" s="548">
        <f t="shared" si="82"/>
        <v>21</v>
      </c>
      <c r="I106" s="4">
        <f t="shared" si="83"/>
        <v>1</v>
      </c>
      <c r="J106" s="360">
        <f t="shared" si="115"/>
        <v>4.8499999999999996</v>
      </c>
      <c r="K106" s="4">
        <f t="shared" si="130"/>
        <v>5.1322751322751321</v>
      </c>
      <c r="L106" s="4"/>
      <c r="M106" s="360">
        <f t="shared" si="85"/>
        <v>0.95469570775755663</v>
      </c>
      <c r="N106" s="4">
        <f t="shared" si="131"/>
        <v>0.30125423058289758</v>
      </c>
      <c r="O106" s="4">
        <f t="shared" si="116"/>
        <v>5.0006271152914481</v>
      </c>
      <c r="P106" s="4">
        <f t="shared" si="117"/>
        <v>4.6993728847085512</v>
      </c>
      <c r="Q106" s="4">
        <f t="shared" si="132"/>
        <v>0</v>
      </c>
      <c r="R106" s="4">
        <f t="shared" si="88"/>
        <v>4.8507796118377033</v>
      </c>
      <c r="S106" s="360">
        <f t="shared" si="133"/>
        <v>0.11765031421310169</v>
      </c>
      <c r="T106" s="360">
        <f t="shared" si="90"/>
        <v>0.3</v>
      </c>
      <c r="U106" s="360">
        <f t="shared" si="134"/>
        <v>0.42161859906575555</v>
      </c>
      <c r="V106" s="4">
        <f t="shared" si="118"/>
        <v>8.696460556077476E-2</v>
      </c>
      <c r="W106" s="360">
        <f t="shared" si="135"/>
        <v>1.5125685240682273E-5</v>
      </c>
      <c r="X106" s="360">
        <f t="shared" si="119"/>
        <v>1.5125685240682273E-5</v>
      </c>
      <c r="Y106" s="4">
        <f t="shared" si="93"/>
        <v>1.0088200464447439</v>
      </c>
      <c r="Z106" s="360">
        <f t="shared" si="120"/>
        <v>1.0177178861087753E-3</v>
      </c>
      <c r="AA106" s="541">
        <f t="shared" si="121"/>
        <v>1.0177178861087753E-3</v>
      </c>
      <c r="AB106" s="360">
        <f t="shared" si="94"/>
        <v>4.7396255125394884</v>
      </c>
      <c r="AC106" s="360">
        <f t="shared" si="136"/>
        <v>0.13478429999469124</v>
      </c>
      <c r="AD106" s="360">
        <f t="shared" si="96"/>
        <v>0.36220939066577357</v>
      </c>
      <c r="AE106" s="360">
        <f t="shared" si="97"/>
        <v>0.6042329999999998</v>
      </c>
      <c r="AF106" s="360">
        <f t="shared" si="98"/>
        <v>0</v>
      </c>
      <c r="AG106" s="360">
        <f t="shared" si="137"/>
        <v>1.1242596380052292</v>
      </c>
      <c r="AH106" s="360">
        <f t="shared" si="100"/>
        <v>1.0324789796916591</v>
      </c>
      <c r="AI106" s="360">
        <f t="shared" si="138"/>
        <v>2.6650321087628237E-3</v>
      </c>
      <c r="AJ106" s="360">
        <f t="shared" si="102"/>
        <v>0.19011999999999998</v>
      </c>
      <c r="AK106" s="360">
        <f t="shared" si="139"/>
        <v>0.19288784256752931</v>
      </c>
      <c r="AL106" s="360">
        <f t="shared" si="104"/>
        <v>0.19011999999999998</v>
      </c>
      <c r="AM106" s="360">
        <f t="shared" si="105"/>
        <v>2.4443999999999999</v>
      </c>
      <c r="AN106" s="360">
        <f t="shared" si="106"/>
        <v>9.4120251370481356E-2</v>
      </c>
      <c r="AO106" s="360">
        <f t="shared" si="107"/>
        <v>7.3499999999999998E-4</v>
      </c>
      <c r="AP106" s="360">
        <f t="shared" si="108"/>
        <v>0.32999999999999996</v>
      </c>
      <c r="AQ106" s="360">
        <f t="shared" si="109"/>
        <v>1.2539999999999998</v>
      </c>
      <c r="AR106" s="360">
        <f t="shared" si="110"/>
        <v>1.0559999999999998</v>
      </c>
      <c r="AS106" s="360">
        <f t="shared" si="129"/>
        <v>0.33073499999999995</v>
      </c>
      <c r="AT106" s="360">
        <f t="shared" si="122"/>
        <v>4.7991741745803447</v>
      </c>
      <c r="AU106">
        <f t="shared" si="111"/>
        <v>97</v>
      </c>
      <c r="AV106" s="542">
        <f t="shared" si="123"/>
        <v>0.95285645278074649</v>
      </c>
      <c r="AW106" s="551">
        <f t="shared" si="112"/>
        <v>136.87818190026147</v>
      </c>
      <c r="AX106" s="551">
        <f t="shared" si="113"/>
        <v>37.982514017566118</v>
      </c>
      <c r="AY106" s="9"/>
      <c r="AZ106" s="4">
        <f t="shared" si="124"/>
        <v>95.285645278074654</v>
      </c>
      <c r="BA106" s="360">
        <f t="shared" si="114"/>
        <v>0.42161859906575555</v>
      </c>
      <c r="BB106" s="360">
        <f t="shared" si="125"/>
        <v>3.7615474805727587</v>
      </c>
      <c r="BC106" s="360">
        <f t="shared" si="126"/>
        <v>2.7375636380052293</v>
      </c>
      <c r="BD106" s="360">
        <f t="shared" si="127"/>
        <v>0.99953984256752937</v>
      </c>
      <c r="BE106" s="360">
        <f t="shared" si="128"/>
        <v>9.4120251370481356E-2</v>
      </c>
      <c r="BK106" s="18"/>
      <c r="BL106" s="19"/>
    </row>
    <row r="107" spans="7:64" x14ac:dyDescent="0.2">
      <c r="G107">
        <v>98</v>
      </c>
      <c r="H107" s="548">
        <f t="shared" si="82"/>
        <v>21</v>
      </c>
      <c r="I107" s="4">
        <f t="shared" si="83"/>
        <v>1</v>
      </c>
      <c r="J107" s="360">
        <f t="shared" si="115"/>
        <v>4.9000000000000004</v>
      </c>
      <c r="K107" s="4">
        <f t="shared" si="130"/>
        <v>5.1851851851851842</v>
      </c>
      <c r="L107" s="4"/>
      <c r="M107" s="360">
        <f t="shared" si="85"/>
        <v>0.95471956843130201</v>
      </c>
      <c r="N107" s="4">
        <f t="shared" si="131"/>
        <v>0.3010867278976187</v>
      </c>
      <c r="O107" s="4">
        <f t="shared" si="116"/>
        <v>5.05054336394881</v>
      </c>
      <c r="P107" s="4">
        <f t="shared" si="117"/>
        <v>4.7494566360511907</v>
      </c>
      <c r="Q107" s="4">
        <f t="shared" si="132"/>
        <v>0</v>
      </c>
      <c r="R107" s="4">
        <f t="shared" si="88"/>
        <v>4.9007708000690746</v>
      </c>
      <c r="S107" s="360">
        <f t="shared" si="133"/>
        <v>0.1200877721740484</v>
      </c>
      <c r="T107" s="360">
        <f t="shared" si="90"/>
        <v>0.3</v>
      </c>
      <c r="U107" s="360">
        <f t="shared" si="134"/>
        <v>0.4241627125895831</v>
      </c>
      <c r="V107" s="4">
        <f t="shared" si="118"/>
        <v>8.691625170055689E-2</v>
      </c>
      <c r="W107" s="360">
        <f t="shared" si="135"/>
        <v>1.5108869619349118E-5</v>
      </c>
      <c r="X107" s="360">
        <f t="shared" si="119"/>
        <v>1.5108869619349118E-5</v>
      </c>
      <c r="Y107" s="4">
        <f t="shared" si="93"/>
        <v>1.018961048458253</v>
      </c>
      <c r="Z107" s="360">
        <f t="shared" si="120"/>
        <v>1.0382816182751423E-3</v>
      </c>
      <c r="AA107" s="541">
        <f t="shared" si="121"/>
        <v>1.0382816182751423E-3</v>
      </c>
      <c r="AB107" s="360">
        <f t="shared" si="94"/>
        <v>4.7885310069766494</v>
      </c>
      <c r="AC107" s="360">
        <f t="shared" si="136"/>
        <v>0.13758017522866084</v>
      </c>
      <c r="AD107" s="360">
        <f t="shared" si="96"/>
        <v>0.36594350809531762</v>
      </c>
      <c r="AE107" s="360">
        <f t="shared" si="97"/>
        <v>0.6042329999999998</v>
      </c>
      <c r="AF107" s="360">
        <f t="shared" si="98"/>
        <v>0</v>
      </c>
      <c r="AG107" s="360">
        <f t="shared" si="137"/>
        <v>1.1314170886434427</v>
      </c>
      <c r="AH107" s="360">
        <f t="shared" si="100"/>
        <v>1.0428447775354099</v>
      </c>
      <c r="AI107" s="360">
        <f t="shared" si="138"/>
        <v>2.7188130750821966E-3</v>
      </c>
      <c r="AJ107" s="360">
        <f t="shared" si="102"/>
        <v>0.19208</v>
      </c>
      <c r="AK107" s="360">
        <f t="shared" si="139"/>
        <v>0.19490479501609939</v>
      </c>
      <c r="AL107" s="360">
        <f t="shared" si="104"/>
        <v>0.19208</v>
      </c>
      <c r="AM107" s="360">
        <f t="shared" si="105"/>
        <v>2.4696000000000002</v>
      </c>
      <c r="AN107" s="360">
        <f t="shared" si="106"/>
        <v>9.6070217739238711E-2</v>
      </c>
      <c r="AO107" s="360">
        <f t="shared" si="107"/>
        <v>7.3499999999999998E-4</v>
      </c>
      <c r="AP107" s="360">
        <f t="shared" si="108"/>
        <v>0.32999999999999996</v>
      </c>
      <c r="AQ107" s="360">
        <f t="shared" si="109"/>
        <v>1.2539999999999998</v>
      </c>
      <c r="AR107" s="360">
        <f t="shared" si="110"/>
        <v>1.0559999999999998</v>
      </c>
      <c r="AS107" s="360">
        <f t="shared" si="129"/>
        <v>0.33073499999999995</v>
      </c>
      <c r="AT107" s="360">
        <f t="shared" si="122"/>
        <v>4.8400232044762577</v>
      </c>
      <c r="AU107">
        <f t="shared" si="111"/>
        <v>98</v>
      </c>
      <c r="AV107" s="542">
        <f t="shared" si="123"/>
        <v>0.95293638552713211</v>
      </c>
      <c r="AW107" s="551">
        <f t="shared" si="112"/>
        <v>138.06765443217216</v>
      </c>
      <c r="AX107" s="551">
        <f t="shared" si="113"/>
        <v>38.375166210611781</v>
      </c>
      <c r="AY107" s="9"/>
      <c r="AZ107" s="4">
        <f t="shared" si="124"/>
        <v>95.293638552713205</v>
      </c>
      <c r="BA107" s="360">
        <f t="shared" si="114"/>
        <v>0.4241627125895831</v>
      </c>
      <c r="BB107" s="360">
        <f t="shared" si="125"/>
        <v>3.7959218836595423</v>
      </c>
      <c r="BC107" s="360">
        <f t="shared" si="126"/>
        <v>2.761353088643443</v>
      </c>
      <c r="BD107" s="360">
        <f t="shared" si="127"/>
        <v>1.0098727950160995</v>
      </c>
      <c r="BE107" s="360">
        <f t="shared" si="128"/>
        <v>9.6070217739238711E-2</v>
      </c>
      <c r="BK107" s="18"/>
      <c r="BL107" s="19"/>
    </row>
    <row r="108" spans="7:64" x14ac:dyDescent="0.2">
      <c r="G108">
        <v>99</v>
      </c>
      <c r="H108" s="548">
        <f t="shared" si="82"/>
        <v>21</v>
      </c>
      <c r="I108" s="4">
        <f t="shared" si="83"/>
        <v>1</v>
      </c>
      <c r="J108" s="360">
        <f t="shared" si="115"/>
        <v>4.95</v>
      </c>
      <c r="K108" s="4">
        <f t="shared" si="130"/>
        <v>5.2380952380952372</v>
      </c>
      <c r="L108" s="4"/>
      <c r="M108" s="360">
        <f t="shared" si="85"/>
        <v>0.95474342904824305</v>
      </c>
      <c r="N108" s="4">
        <f t="shared" si="131"/>
        <v>0.30091921644552233</v>
      </c>
      <c r="O108" s="4">
        <f t="shared" si="116"/>
        <v>5.1004596082227618</v>
      </c>
      <c r="P108" s="4">
        <f t="shared" si="117"/>
        <v>4.7995403917772386</v>
      </c>
      <c r="Q108" s="4">
        <f t="shared" si="132"/>
        <v>0</v>
      </c>
      <c r="R108" s="4">
        <f t="shared" si="88"/>
        <v>4.9507621667007511</v>
      </c>
      <c r="S108" s="360">
        <f t="shared" si="133"/>
        <v>0.12255023015617758</v>
      </c>
      <c r="T108" s="360">
        <f t="shared" si="90"/>
        <v>0.3</v>
      </c>
      <c r="U108" s="360">
        <f t="shared" si="134"/>
        <v>0.42673393753702671</v>
      </c>
      <c r="V108" s="4">
        <f t="shared" si="118"/>
        <v>8.6867895309576795E-2</v>
      </c>
      <c r="W108" s="360">
        <f t="shared" si="135"/>
        <v>1.5092062471031188E-5</v>
      </c>
      <c r="X108" s="360">
        <f t="shared" si="119"/>
        <v>1.5092062471031188E-5</v>
      </c>
      <c r="Y108" s="4">
        <f t="shared" si="93"/>
        <v>1.029096793135349</v>
      </c>
      <c r="Z108" s="360">
        <f t="shared" si="120"/>
        <v>1.0590402096414594E-3</v>
      </c>
      <c r="AA108" s="541">
        <f t="shared" si="121"/>
        <v>1.0590402096414594E-3</v>
      </c>
      <c r="AB108" s="360">
        <f t="shared" si="94"/>
        <v>4.8374378956212007</v>
      </c>
      <c r="AC108" s="360">
        <f t="shared" si="136"/>
        <v>0.14040483236395243</v>
      </c>
      <c r="AD108" s="360">
        <f t="shared" si="96"/>
        <v>0.36967762552486166</v>
      </c>
      <c r="AE108" s="360">
        <f t="shared" si="97"/>
        <v>0.6042329999999998</v>
      </c>
      <c r="AF108" s="360">
        <f t="shared" si="98"/>
        <v>0</v>
      </c>
      <c r="AG108" s="360">
        <f t="shared" si="137"/>
        <v>1.1386152546501553</v>
      </c>
      <c r="AH108" s="360">
        <f t="shared" si="100"/>
        <v>1.0532049360136131</v>
      </c>
      <c r="AI108" s="360">
        <f t="shared" si="138"/>
        <v>2.7731015931085974E-3</v>
      </c>
      <c r="AJ108" s="360">
        <f t="shared" si="102"/>
        <v>0.19403999999999999</v>
      </c>
      <c r="AK108" s="360">
        <f t="shared" si="139"/>
        <v>0.19692231871225652</v>
      </c>
      <c r="AL108" s="360">
        <f t="shared" si="104"/>
        <v>0.19403999999999999</v>
      </c>
      <c r="AM108" s="360">
        <f t="shared" si="105"/>
        <v>2.4947999999999997</v>
      </c>
      <c r="AN108" s="360">
        <f t="shared" si="106"/>
        <v>9.8040184124942059E-2</v>
      </c>
      <c r="AO108" s="360">
        <f t="shared" si="107"/>
        <v>7.3499999999999998E-4</v>
      </c>
      <c r="AP108" s="360">
        <f t="shared" si="108"/>
        <v>0.32999999999999996</v>
      </c>
      <c r="AQ108" s="360">
        <f t="shared" si="109"/>
        <v>1.2539999999999998</v>
      </c>
      <c r="AR108" s="360">
        <f t="shared" si="110"/>
        <v>1.0559999999999998</v>
      </c>
      <c r="AS108" s="360">
        <f t="shared" si="129"/>
        <v>0.33073499999999995</v>
      </c>
      <c r="AT108" s="360">
        <f t="shared" si="122"/>
        <v>4.8809608272964926</v>
      </c>
      <c r="AU108">
        <f t="shared" si="111"/>
        <v>99</v>
      </c>
      <c r="AV108" s="542">
        <f t="shared" si="123"/>
        <v>0.95301390371801475</v>
      </c>
      <c r="AW108" s="551">
        <f t="shared" si="112"/>
        <v>139.25916273250775</v>
      </c>
      <c r="AX108" s="551">
        <f t="shared" si="113"/>
        <v>38.767840111065752</v>
      </c>
      <c r="AY108" s="9"/>
      <c r="AZ108" s="4">
        <f t="shared" si="124"/>
        <v>95.301390371801475</v>
      </c>
      <c r="BA108" s="360">
        <f t="shared" si="114"/>
        <v>0.42673393753702671</v>
      </c>
      <c r="BB108" s="360">
        <f t="shared" si="125"/>
        <v>3.8303375733624114</v>
      </c>
      <c r="BC108" s="360">
        <f t="shared" si="126"/>
        <v>2.7851832546501551</v>
      </c>
      <c r="BD108" s="360">
        <f t="shared" si="127"/>
        <v>1.0202063187122565</v>
      </c>
      <c r="BE108" s="360">
        <f t="shared" si="128"/>
        <v>9.8040184124942059E-2</v>
      </c>
      <c r="BK108" s="18"/>
      <c r="BL108" s="19"/>
    </row>
    <row r="109" spans="7:64" x14ac:dyDescent="0.2">
      <c r="G109">
        <v>100</v>
      </c>
      <c r="H109" s="548">
        <f t="shared" si="82"/>
        <v>21</v>
      </c>
      <c r="I109" s="4">
        <f t="shared" si="83"/>
        <v>1</v>
      </c>
      <c r="J109" s="360">
        <f t="shared" si="115"/>
        <v>5</v>
      </c>
      <c r="K109" s="4">
        <f t="shared" si="130"/>
        <v>5.2910052910052903</v>
      </c>
      <c r="L109" s="4"/>
      <c r="M109" s="360">
        <f t="shared" si="85"/>
        <v>0.95476728960837987</v>
      </c>
      <c r="N109" s="4">
        <f t="shared" si="131"/>
        <v>0.30075169622663972</v>
      </c>
      <c r="O109" s="4">
        <f t="shared" si="116"/>
        <v>5.1503758481133195</v>
      </c>
      <c r="P109" s="4">
        <f t="shared" si="117"/>
        <v>4.8496241518866805</v>
      </c>
      <c r="Q109" s="4">
        <f t="shared" si="132"/>
        <v>0</v>
      </c>
      <c r="R109" s="4">
        <f t="shared" si="88"/>
        <v>5.0007537063825289</v>
      </c>
      <c r="S109" s="360">
        <f t="shared" si="133"/>
        <v>0.12503768815949301</v>
      </c>
      <c r="T109" s="360">
        <f t="shared" si="90"/>
        <v>0.3</v>
      </c>
      <c r="U109" s="360">
        <f t="shared" si="134"/>
        <v>0.42933230567580399</v>
      </c>
      <c r="V109" s="4">
        <f t="shared" si="118"/>
        <v>8.681953638784351E-2</v>
      </c>
      <c r="W109" s="360">
        <f t="shared" si="135"/>
        <v>1.5075263797200168E-5</v>
      </c>
      <c r="X109" s="360">
        <f t="shared" si="119"/>
        <v>1.5075263797200168E-5</v>
      </c>
      <c r="Y109" s="4">
        <f t="shared" si="93"/>
        <v>1.0392272769209072</v>
      </c>
      <c r="Z109" s="360">
        <f t="shared" si="120"/>
        <v>1.0799933330964439E-3</v>
      </c>
      <c r="AA109" s="541">
        <f t="shared" si="121"/>
        <v>1.0799933330964439E-3</v>
      </c>
      <c r="AB109" s="360">
        <f t="shared" si="94"/>
        <v>4.8863461732246716</v>
      </c>
      <c r="AC109" s="360">
        <f t="shared" si="136"/>
        <v>0.14325827354752435</v>
      </c>
      <c r="AD109" s="360">
        <f t="shared" si="96"/>
        <v>0.37341174295440571</v>
      </c>
      <c r="AE109" s="360">
        <f t="shared" si="97"/>
        <v>0.6042329999999998</v>
      </c>
      <c r="AF109" s="360">
        <f t="shared" si="98"/>
        <v>0</v>
      </c>
      <c r="AG109" s="360">
        <f t="shared" si="137"/>
        <v>1.1458542887885588</v>
      </c>
      <c r="AH109" s="360">
        <f t="shared" si="100"/>
        <v>1.0635594517050806</v>
      </c>
      <c r="AI109" s="360">
        <f t="shared" si="138"/>
        <v>2.8278967682780292E-3</v>
      </c>
      <c r="AJ109" s="360">
        <f t="shared" si="102"/>
        <v>0.19600000000000001</v>
      </c>
      <c r="AK109" s="360">
        <f t="shared" si="139"/>
        <v>0.19894041335868143</v>
      </c>
      <c r="AL109" s="360">
        <f t="shared" si="104"/>
        <v>0.19600000000000001</v>
      </c>
      <c r="AM109" s="360">
        <f t="shared" si="105"/>
        <v>2.52</v>
      </c>
      <c r="AN109" s="360">
        <f t="shared" si="106"/>
        <v>0.1000301505275944</v>
      </c>
      <c r="AO109" s="360">
        <f t="shared" si="107"/>
        <v>7.3499999999999998E-4</v>
      </c>
      <c r="AP109" s="360">
        <f t="shared" si="108"/>
        <v>0.32999999999999996</v>
      </c>
      <c r="AQ109" s="360">
        <f t="shared" si="109"/>
        <v>1.2539999999999998</v>
      </c>
      <c r="AR109" s="360">
        <f t="shared" si="110"/>
        <v>1.0559999999999998</v>
      </c>
      <c r="AS109" s="360">
        <f t="shared" si="129"/>
        <v>0.33073499999999995</v>
      </c>
      <c r="AT109" s="360">
        <f t="shared" si="122"/>
        <v>4.9219872269475315</v>
      </c>
      <c r="AU109">
        <f t="shared" si="111"/>
        <v>100</v>
      </c>
      <c r="AV109" s="542">
        <f t="shared" si="123"/>
        <v>0.95308907735133519</v>
      </c>
      <c r="AW109" s="551">
        <f t="shared" si="112"/>
        <v>140.45271443942795</v>
      </c>
      <c r="AX109" s="551">
        <f t="shared" si="113"/>
        <v>39.160535707629897</v>
      </c>
      <c r="AY109" s="9"/>
      <c r="AZ109" s="4">
        <f t="shared" si="124"/>
        <v>95.308907735133516</v>
      </c>
      <c r="BA109" s="360">
        <f t="shared" si="114"/>
        <v>0.42933230567580399</v>
      </c>
      <c r="BB109" s="360">
        <f t="shared" si="125"/>
        <v>3.8647947021472402</v>
      </c>
      <c r="BC109" s="360">
        <f t="shared" si="126"/>
        <v>2.809054288788559</v>
      </c>
      <c r="BD109" s="360">
        <f t="shared" si="127"/>
        <v>1.0305404133586815</v>
      </c>
      <c r="BE109" s="360">
        <f t="shared" si="128"/>
        <v>0.1000301505275944</v>
      </c>
      <c r="BK109" s="18"/>
      <c r="BL109" s="19"/>
    </row>
    <row r="110" spans="7:64" x14ac:dyDescent="0.2">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B7:AG7"/>
    <mergeCell ref="AH7:AK7"/>
    <mergeCell ref="AO7:AS7"/>
    <mergeCell ref="AT7:AX7"/>
    <mergeCell ref="AZ7:BE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37"/>
    </row>
    <row r="7" spans="1:2" ht="409.5" customHeight="1" x14ac:dyDescent="0.2">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75" x14ac:dyDescent="0.2"/>
  <cols>
    <col min="1" max="1" width="10.5703125" customWidth="1"/>
    <col min="2" max="2" width="129.28515625" customWidth="1"/>
  </cols>
  <sheetData>
    <row r="1" spans="1:14" x14ac:dyDescent="0.2">
      <c r="J1" s="114" t="s">
        <v>621</v>
      </c>
      <c r="N1" s="114" t="s">
        <v>623</v>
      </c>
    </row>
    <row r="2" spans="1:14" x14ac:dyDescent="0.2">
      <c r="A2" t="str">
        <f>CHOOSE(SCH_MODE, "SCH_DUAL", "SCH_SINGLE", "SCH_MULTIPHASE", "SCH_MULTIPHASE")</f>
        <v>SCH_DUAL</v>
      </c>
      <c r="J2" s="114" t="s">
        <v>622</v>
      </c>
      <c r="N2" s="114" t="s">
        <v>777</v>
      </c>
    </row>
    <row r="3" spans="1:14" x14ac:dyDescent="0.2">
      <c r="J3" s="114" t="s">
        <v>620</v>
      </c>
    </row>
    <row r="4" spans="1:14" x14ac:dyDescent="0.2">
      <c r="J4" s="114" t="s">
        <v>619</v>
      </c>
    </row>
    <row r="5" spans="1:14" ht="409.5" customHeight="1" x14ac:dyDescent="0.2">
      <c r="B5" s="537"/>
    </row>
    <row r="6" spans="1:14" ht="12" customHeight="1" x14ac:dyDescent="0.2">
      <c r="B6" s="537"/>
    </row>
    <row r="7" spans="1:14" ht="34.5" customHeight="1" x14ac:dyDescent="0.2"/>
    <row r="8" spans="1:14" ht="409.5" customHeight="1" x14ac:dyDescent="0.2">
      <c r="B8" s="537"/>
    </row>
    <row r="9" spans="1:14" x14ac:dyDescent="0.2">
      <c r="B9" s="537"/>
    </row>
    <row r="10" spans="1:14" ht="409.5" customHeight="1" x14ac:dyDescent="0.2">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3" max="13" width="12.140625" customWidth="1"/>
    <col min="14" max="14" width="12.42578125" bestFit="1" customWidth="1"/>
    <col min="15" max="15" width="15.42578125" customWidth="1"/>
  </cols>
  <sheetData>
    <row r="2" spans="1:16" x14ac:dyDescent="0.2">
      <c r="A2" t="s">
        <v>160</v>
      </c>
      <c r="B2" t="s">
        <v>152</v>
      </c>
      <c r="C2" t="s">
        <v>31</v>
      </c>
      <c r="D2" t="s">
        <v>32</v>
      </c>
      <c r="E2" t="s">
        <v>25</v>
      </c>
      <c r="F2" t="s">
        <v>57</v>
      </c>
      <c r="G2" s="114" t="s">
        <v>682</v>
      </c>
      <c r="H2" s="114" t="s">
        <v>323</v>
      </c>
      <c r="I2" s="114" t="s">
        <v>734</v>
      </c>
      <c r="J2" s="114" t="s">
        <v>735</v>
      </c>
    </row>
    <row r="3" spans="1:16" x14ac:dyDescent="0.2">
      <c r="A3" t="s">
        <v>163</v>
      </c>
      <c r="B3">
        <f>Css</f>
        <v>1.0000000000000002E-7</v>
      </c>
      <c r="C3">
        <f>Cc1ea</f>
        <v>3.5180966622878611E-10</v>
      </c>
      <c r="D3">
        <f>Cc2ea</f>
        <v>-2.3873241491063468E-12</v>
      </c>
      <c r="E3">
        <f>Cout</f>
        <v>1.4999999999999999E-4</v>
      </c>
      <c r="F3">
        <f>Cin</f>
        <v>5.0000000000000002E-5</v>
      </c>
      <c r="G3">
        <f>Cres</f>
        <v>5.0000000000000008E-7</v>
      </c>
      <c r="H3">
        <f>Cdither_init</f>
        <v>9.2592592592592591E-9</v>
      </c>
      <c r="I3">
        <f>Cc3ea</f>
        <v>4.3976208278598272E-10</v>
      </c>
      <c r="J3">
        <f>Cc4ea</f>
        <v>-2.3873241491063452E-12</v>
      </c>
      <c r="M3" t="s">
        <v>165</v>
      </c>
      <c r="N3" t="s">
        <v>166</v>
      </c>
      <c r="O3" s="2" t="s">
        <v>162</v>
      </c>
    </row>
    <row r="4" spans="1:16" x14ac:dyDescent="0.2">
      <c r="A4" s="7" t="s">
        <v>162</v>
      </c>
      <c r="B4" s="7">
        <f>SUM(B6:B158)/1000000000000</f>
        <v>9.9999999999999995E-8</v>
      </c>
      <c r="C4" s="7">
        <f>IF(C3="OPEN","OPEN",SUM(C6:C158)/1000000000000)</f>
        <v>3.3E-10</v>
      </c>
      <c r="D4" s="7">
        <f>SUM(D6:D158)/1000000000000</f>
        <v>0</v>
      </c>
      <c r="E4" s="7">
        <f>SUM(E6:E158)/1000000000000</f>
        <v>1.4999999999999999E-4</v>
      </c>
      <c r="F4" s="7">
        <f>SUM(F6:F158)/1000000000000</f>
        <v>4.6999999999999997E-5</v>
      </c>
      <c r="G4" s="7">
        <f>SUM(G6:G158)/1000000000000</f>
        <v>4.7E-7</v>
      </c>
      <c r="H4" s="7">
        <f t="shared" ref="H4:J4" si="0">IF(H3="OPEN","OPEN",SUM(H6:H158)/1000000000000)</f>
        <v>1E-8</v>
      </c>
      <c r="I4" s="7">
        <f t="shared" si="0"/>
        <v>4.7000000000000003E-10</v>
      </c>
      <c r="J4" s="7">
        <f t="shared" si="0"/>
        <v>0</v>
      </c>
      <c r="M4" s="114" t="s">
        <v>280</v>
      </c>
      <c r="N4">
        <f>Rfadj</f>
        <v>11000</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11000</v>
      </c>
      <c r="P4" s="45" t="s">
        <v>268</v>
      </c>
    </row>
    <row r="5" spans="1:16" x14ac:dyDescent="0.2">
      <c r="A5" t="s">
        <v>161</v>
      </c>
      <c r="O5" s="2"/>
      <c r="P5" s="45"/>
    </row>
    <row r="6" spans="1:16" x14ac:dyDescent="0.2">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x14ac:dyDescent="0.2">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75398.223600000027</v>
      </c>
      <c r="O7" s="2">
        <f t="shared" si="1"/>
        <v>75000</v>
      </c>
      <c r="P7" s="45" t="s">
        <v>268</v>
      </c>
    </row>
    <row r="8" spans="1:16" x14ac:dyDescent="0.2">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60318.578880000015</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60400</v>
      </c>
      <c r="P8" s="45" t="s">
        <v>268</v>
      </c>
    </row>
    <row r="9" spans="1:16" x14ac:dyDescent="0.2">
      <c r="A9">
        <v>0.82</v>
      </c>
      <c r="B9">
        <f t="shared" si="3"/>
        <v>0</v>
      </c>
      <c r="C9">
        <f t="shared" si="4"/>
        <v>0</v>
      </c>
      <c r="D9">
        <f t="shared" si="5"/>
        <v>0</v>
      </c>
      <c r="E9">
        <f t="shared" si="6"/>
        <v>0</v>
      </c>
      <c r="F9">
        <f t="shared" si="7"/>
        <v>0</v>
      </c>
      <c r="G9">
        <f t="shared" si="8"/>
        <v>0</v>
      </c>
      <c r="H9">
        <f t="shared" si="8"/>
        <v>0</v>
      </c>
      <c r="I9">
        <f t="shared" si="8"/>
        <v>0</v>
      </c>
      <c r="J9">
        <f t="shared" si="8"/>
        <v>0</v>
      </c>
    </row>
    <row r="10" spans="1:16" x14ac:dyDescent="0.2">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39300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39200</v>
      </c>
      <c r="P10" s="45" t="s">
        <v>268</v>
      </c>
    </row>
    <row r="11" spans="1:16" x14ac:dyDescent="0.2">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1215.4639175257732</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1210</v>
      </c>
      <c r="P11" s="45" t="s">
        <v>268</v>
      </c>
    </row>
    <row r="12" spans="1:16" x14ac:dyDescent="0.2">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115000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115000</v>
      </c>
      <c r="P12" s="45" t="s">
        <v>268</v>
      </c>
    </row>
    <row r="13" spans="1:16" x14ac:dyDescent="0.2">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3556.7010309278353</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3570</v>
      </c>
      <c r="P13" s="45" t="s">
        <v>268</v>
      </c>
    </row>
    <row r="14" spans="1:16" x14ac:dyDescent="0.2">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
      <c r="A15">
        <v>2.7</v>
      </c>
      <c r="B15">
        <f t="shared" si="3"/>
        <v>0</v>
      </c>
      <c r="C15">
        <f t="shared" si="4"/>
        <v>0</v>
      </c>
      <c r="D15">
        <f t="shared" si="5"/>
        <v>0</v>
      </c>
      <c r="E15">
        <f t="shared" si="6"/>
        <v>0</v>
      </c>
      <c r="F15">
        <f t="shared" si="7"/>
        <v>0</v>
      </c>
      <c r="G15">
        <f t="shared" si="8"/>
        <v>0</v>
      </c>
      <c r="H15">
        <f t="shared" si="8"/>
        <v>0</v>
      </c>
      <c r="I15">
        <f t="shared" si="8"/>
        <v>0</v>
      </c>
      <c r="J15">
        <f t="shared" si="8"/>
        <v>0</v>
      </c>
    </row>
    <row r="16" spans="1:16" x14ac:dyDescent="0.2">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4.5176352823411641</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4.53</v>
      </c>
      <c r="P16" s="45" t="s">
        <v>318</v>
      </c>
    </row>
    <row r="17" spans="1:16" x14ac:dyDescent="0.2">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
      <c r="A18">
        <v>4.7</v>
      </c>
      <c r="B18">
        <f t="shared" si="3"/>
        <v>0</v>
      </c>
      <c r="C18">
        <f t="shared" si="4"/>
        <v>0</v>
      </c>
      <c r="D18">
        <f t="shared" si="5"/>
        <v>0</v>
      </c>
      <c r="E18">
        <f t="shared" si="6"/>
        <v>0</v>
      </c>
      <c r="F18">
        <f t="shared" si="7"/>
        <v>0</v>
      </c>
      <c r="G18">
        <f t="shared" si="8"/>
        <v>0</v>
      </c>
      <c r="H18">
        <f t="shared" si="8"/>
        <v>0</v>
      </c>
      <c r="I18">
        <f t="shared" si="8"/>
        <v>0</v>
      </c>
      <c r="J18">
        <f t="shared" si="8"/>
        <v>0</v>
      </c>
    </row>
    <row r="19" spans="1:16" x14ac:dyDescent="0.2">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x14ac:dyDescent="0.2">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x14ac:dyDescent="0.2">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x14ac:dyDescent="0.2">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x14ac:dyDescent="0.2">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x14ac:dyDescent="0.2">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
      <c r="A25">
        <v>18</v>
      </c>
      <c r="B25">
        <f t="shared" si="3"/>
        <v>0</v>
      </c>
      <c r="C25">
        <f t="shared" si="4"/>
        <v>0</v>
      </c>
      <c r="D25">
        <f t="shared" si="5"/>
        <v>0</v>
      </c>
      <c r="E25">
        <f t="shared" si="6"/>
        <v>0</v>
      </c>
      <c r="F25">
        <f t="shared" si="7"/>
        <v>0</v>
      </c>
      <c r="G25">
        <f t="shared" si="8"/>
        <v>0</v>
      </c>
      <c r="H25">
        <f t="shared" si="8"/>
        <v>0</v>
      </c>
      <c r="I25">
        <f t="shared" si="8"/>
        <v>0</v>
      </c>
      <c r="J25">
        <f t="shared" si="8"/>
        <v>0</v>
      </c>
    </row>
    <row r="26" spans="1:16" x14ac:dyDescent="0.2">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x14ac:dyDescent="0.2">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
      <c r="A29">
        <v>39</v>
      </c>
      <c r="B29">
        <f t="shared" si="3"/>
        <v>0</v>
      </c>
      <c r="C29">
        <f t="shared" si="4"/>
        <v>0</v>
      </c>
      <c r="D29">
        <f t="shared" si="5"/>
        <v>0</v>
      </c>
      <c r="E29">
        <f t="shared" si="6"/>
        <v>0</v>
      </c>
      <c r="F29">
        <f t="shared" si="7"/>
        <v>0</v>
      </c>
      <c r="G29">
        <f t="shared" si="8"/>
        <v>0</v>
      </c>
      <c r="H29">
        <f t="shared" si="8"/>
        <v>0</v>
      </c>
      <c r="I29">
        <f t="shared" si="8"/>
        <v>0</v>
      </c>
      <c r="J29">
        <f t="shared" si="8"/>
        <v>0</v>
      </c>
    </row>
    <row r="30" spans="1:16" x14ac:dyDescent="0.2">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75 kΩ</v>
      </c>
      <c r="O30">
        <f>O7/1000</f>
        <v>75</v>
      </c>
      <c r="P30" s="45" t="s">
        <v>242</v>
      </c>
    </row>
    <row r="31" spans="1:16" x14ac:dyDescent="0.2">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0.33 nF</v>
      </c>
      <c r="O31">
        <f>C4*1000000000</f>
        <v>0.33</v>
      </c>
      <c r="P31" s="114" t="s">
        <v>141</v>
      </c>
    </row>
    <row r="32" spans="1:16" x14ac:dyDescent="0.2">
      <c r="A32">
        <v>68</v>
      </c>
      <c r="B32">
        <f t="shared" si="3"/>
        <v>0</v>
      </c>
      <c r="C32">
        <f t="shared" si="4"/>
        <v>0</v>
      </c>
      <c r="D32">
        <f t="shared" si="5"/>
        <v>0</v>
      </c>
      <c r="E32">
        <f t="shared" si="6"/>
        <v>0</v>
      </c>
      <c r="F32">
        <f t="shared" si="7"/>
        <v>0</v>
      </c>
      <c r="G32">
        <f t="shared" si="8"/>
        <v>0</v>
      </c>
      <c r="H32">
        <f t="shared" si="8"/>
        <v>0</v>
      </c>
      <c r="I32">
        <f t="shared" si="8"/>
        <v>0</v>
      </c>
      <c r="J32">
        <f t="shared" si="8"/>
        <v>0</v>
      </c>
      <c r="M32" s="3" t="s">
        <v>170</v>
      </c>
      <c r="N32" t="str">
        <f>D4*1000000000000&amp;" pF"</f>
        <v>0 pF</v>
      </c>
      <c r="O32">
        <f>D4*1000000000000</f>
        <v>0</v>
      </c>
      <c r="P32" s="114" t="s">
        <v>30</v>
      </c>
    </row>
    <row r="33" spans="1:16" x14ac:dyDescent="0.2">
      <c r="A33">
        <v>82</v>
      </c>
      <c r="B33">
        <f t="shared" si="3"/>
        <v>0</v>
      </c>
      <c r="C33">
        <f t="shared" si="4"/>
        <v>0</v>
      </c>
      <c r="D33">
        <f t="shared" si="5"/>
        <v>0</v>
      </c>
      <c r="E33">
        <f t="shared" si="6"/>
        <v>0</v>
      </c>
      <c r="F33">
        <f t="shared" si="7"/>
        <v>0</v>
      </c>
      <c r="G33">
        <f t="shared" si="8"/>
        <v>0</v>
      </c>
      <c r="H33">
        <f t="shared" si="8"/>
        <v>0</v>
      </c>
      <c r="I33">
        <f t="shared" si="8"/>
        <v>0</v>
      </c>
      <c r="J33">
        <f t="shared" si="8"/>
        <v>0</v>
      </c>
      <c r="M33" s="3"/>
      <c r="P33" s="45"/>
    </row>
    <row r="34" spans="1:16" x14ac:dyDescent="0.2">
      <c r="A34">
        <f>A22*10</f>
        <v>100</v>
      </c>
      <c r="B34">
        <f t="shared" si="3"/>
        <v>0</v>
      </c>
      <c r="C34">
        <f t="shared" si="4"/>
        <v>0</v>
      </c>
      <c r="D34">
        <f t="shared" si="5"/>
        <v>0</v>
      </c>
      <c r="E34">
        <f t="shared" si="6"/>
        <v>0</v>
      </c>
      <c r="F34">
        <f t="shared" si="7"/>
        <v>0</v>
      </c>
      <c r="G34">
        <f t="shared" si="8"/>
        <v>0</v>
      </c>
      <c r="H34">
        <f t="shared" si="8"/>
        <v>0</v>
      </c>
      <c r="I34">
        <f t="shared" si="8"/>
        <v>0</v>
      </c>
      <c r="J34">
        <f t="shared" si="8"/>
        <v>0</v>
      </c>
      <c r="M34" s="114" t="s">
        <v>731</v>
      </c>
      <c r="N34" t="str">
        <f>O8/1000&amp;" kΩ"</f>
        <v>60.4 kΩ</v>
      </c>
      <c r="O34">
        <f>O8/1000</f>
        <v>60.4</v>
      </c>
      <c r="P34" s="45" t="s">
        <v>242</v>
      </c>
    </row>
    <row r="35" spans="1:16" x14ac:dyDescent="0.2">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0.47 nF</v>
      </c>
      <c r="O35">
        <f>I4*1000000000</f>
        <v>0.47000000000000003</v>
      </c>
      <c r="P35" s="114" t="s">
        <v>141</v>
      </c>
    </row>
    <row r="36" spans="1:16" x14ac:dyDescent="0.2">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0 pF</v>
      </c>
      <c r="O36">
        <f>J4*1000000000000</f>
        <v>0</v>
      </c>
      <c r="P36" s="114" t="s">
        <v>30</v>
      </c>
    </row>
    <row r="37" spans="1:16" x14ac:dyDescent="0.2">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
      <c r="A40">
        <f t="shared" si="11"/>
        <v>330</v>
      </c>
      <c r="B40">
        <f t="shared" si="3"/>
        <v>0</v>
      </c>
      <c r="C40">
        <f t="shared" si="12"/>
        <v>330</v>
      </c>
      <c r="D40">
        <f t="shared" si="5"/>
        <v>0</v>
      </c>
      <c r="E40">
        <f t="shared" si="6"/>
        <v>0</v>
      </c>
      <c r="F40">
        <f t="shared" si="7"/>
        <v>0</v>
      </c>
      <c r="G40">
        <f t="shared" si="8"/>
        <v>0</v>
      </c>
      <c r="H40">
        <f t="shared" si="8"/>
        <v>0</v>
      </c>
      <c r="I40">
        <f t="shared" si="8"/>
        <v>0</v>
      </c>
      <c r="J40">
        <f t="shared" si="8"/>
        <v>0</v>
      </c>
    </row>
    <row r="41" spans="1:16" x14ac:dyDescent="0.2">
      <c r="A41">
        <f t="shared" si="11"/>
        <v>390</v>
      </c>
      <c r="B41">
        <f t="shared" si="3"/>
        <v>0</v>
      </c>
      <c r="C41">
        <f t="shared" si="12"/>
        <v>0</v>
      </c>
      <c r="D41">
        <f t="shared" si="5"/>
        <v>0</v>
      </c>
      <c r="E41">
        <f t="shared" si="6"/>
        <v>0</v>
      </c>
      <c r="F41">
        <f t="shared" si="7"/>
        <v>0</v>
      </c>
      <c r="G41">
        <f t="shared" si="8"/>
        <v>0</v>
      </c>
      <c r="H41">
        <f t="shared" si="8"/>
        <v>0</v>
      </c>
      <c r="I41">
        <f t="shared" si="8"/>
        <v>470</v>
      </c>
      <c r="J41">
        <f t="shared" si="8"/>
        <v>0</v>
      </c>
    </row>
    <row r="42" spans="1:16" x14ac:dyDescent="0.2">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
      <c r="A47">
        <f t="shared" si="11"/>
        <v>1200</v>
      </c>
      <c r="B47">
        <f t="shared" si="3"/>
        <v>0</v>
      </c>
      <c r="C47">
        <f t="shared" si="12"/>
        <v>0</v>
      </c>
      <c r="D47">
        <f t="shared" si="5"/>
        <v>0</v>
      </c>
      <c r="E47">
        <f t="shared" si="6"/>
        <v>0</v>
      </c>
      <c r="F47">
        <f t="shared" si="7"/>
        <v>0</v>
      </c>
      <c r="G47">
        <f t="shared" si="8"/>
        <v>0</v>
      </c>
      <c r="H47">
        <f t="shared" si="8"/>
        <v>0</v>
      </c>
      <c r="I47">
        <f t="shared" si="8"/>
        <v>0</v>
      </c>
      <c r="J47">
        <f t="shared" si="8"/>
        <v>0</v>
      </c>
    </row>
    <row r="48" spans="1:16" x14ac:dyDescent="0.2">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
      <c r="A55">
        <f t="shared" si="11"/>
        <v>5600</v>
      </c>
      <c r="B55">
        <f t="shared" si="3"/>
        <v>0</v>
      </c>
      <c r="C55">
        <f t="shared" si="12"/>
        <v>0</v>
      </c>
      <c r="D55">
        <f t="shared" si="5"/>
        <v>0</v>
      </c>
      <c r="E55">
        <f t="shared" si="6"/>
        <v>0</v>
      </c>
      <c r="F55">
        <f t="shared" si="7"/>
        <v>0</v>
      </c>
      <c r="G55">
        <f t="shared" si="8"/>
        <v>0</v>
      </c>
      <c r="H55">
        <f t="shared" si="8"/>
        <v>0</v>
      </c>
      <c r="I55">
        <f t="shared" si="8"/>
        <v>0</v>
      </c>
      <c r="J55">
        <f t="shared" si="8"/>
        <v>0</v>
      </c>
    </row>
    <row r="56" spans="1:10" x14ac:dyDescent="0.2">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
      <c r="A102">
        <f t="shared" si="21"/>
        <v>47000000</v>
      </c>
      <c r="B102">
        <f t="shared" si="15"/>
        <v>0</v>
      </c>
      <c r="C102">
        <f t="shared" si="16"/>
        <v>0</v>
      </c>
      <c r="D102">
        <f t="shared" si="16"/>
        <v>0</v>
      </c>
      <c r="E102">
        <f t="shared" si="16"/>
        <v>0</v>
      </c>
      <c r="F102">
        <f t="shared" si="17"/>
        <v>47000000</v>
      </c>
      <c r="G102">
        <f t="shared" si="18"/>
        <v>0</v>
      </c>
      <c r="H102">
        <f t="shared" si="19"/>
        <v>0</v>
      </c>
      <c r="I102">
        <f t="shared" si="20"/>
        <v>0</v>
      </c>
      <c r="J102">
        <f t="shared" si="13"/>
        <v>0</v>
      </c>
    </row>
    <row r="103" spans="1:10" x14ac:dyDescent="0.2">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
      <c r="A108">
        <f t="shared" si="21"/>
        <v>150000000</v>
      </c>
      <c r="B108">
        <f t="shared" si="15"/>
        <v>0</v>
      </c>
      <c r="C108">
        <f t="shared" si="16"/>
        <v>0</v>
      </c>
      <c r="D108">
        <f t="shared" si="16"/>
        <v>0</v>
      </c>
      <c r="E108">
        <f t="shared" si="16"/>
        <v>150000000</v>
      </c>
      <c r="F108">
        <f t="shared" si="22"/>
        <v>0</v>
      </c>
      <c r="G108">
        <f t="shared" si="23"/>
        <v>0</v>
      </c>
      <c r="H108">
        <f t="shared" si="24"/>
        <v>0</v>
      </c>
      <c r="I108">
        <f t="shared" si="25"/>
        <v>0</v>
      </c>
      <c r="J108">
        <f t="shared" si="13"/>
        <v>0</v>
      </c>
    </row>
    <row r="109" spans="1:10" x14ac:dyDescent="0.2">
      <c r="A109">
        <f t="shared" si="21"/>
        <v>180000000</v>
      </c>
      <c r="B109">
        <f t="shared" si="15"/>
        <v>0</v>
      </c>
      <c r="C109">
        <f t="shared" si="16"/>
        <v>0</v>
      </c>
      <c r="D109">
        <f t="shared" si="16"/>
        <v>0</v>
      </c>
      <c r="E109">
        <f t="shared" si="16"/>
        <v>0</v>
      </c>
      <c r="F109">
        <f t="shared" si="22"/>
        <v>0</v>
      </c>
      <c r="G109">
        <f t="shared" si="23"/>
        <v>0</v>
      </c>
      <c r="H109">
        <f t="shared" si="24"/>
        <v>0</v>
      </c>
      <c r="I109">
        <f t="shared" si="25"/>
        <v>0</v>
      </c>
      <c r="J109">
        <f t="shared" si="13"/>
        <v>0</v>
      </c>
    </row>
    <row r="110" spans="1:10" x14ac:dyDescent="0.2">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
      <c r="A119">
        <f t="shared" si="21"/>
        <v>1200000000</v>
      </c>
      <c r="B119">
        <f t="shared" si="15"/>
        <v>0</v>
      </c>
      <c r="C119">
        <f t="shared" si="16"/>
        <v>0</v>
      </c>
      <c r="D119">
        <f t="shared" si="16"/>
        <v>0</v>
      </c>
      <c r="E119">
        <f t="shared" si="16"/>
        <v>0</v>
      </c>
      <c r="F119">
        <f t="shared" si="22"/>
        <v>0</v>
      </c>
      <c r="G119">
        <f t="shared" si="23"/>
        <v>0</v>
      </c>
      <c r="H119">
        <f t="shared" si="24"/>
        <v>0</v>
      </c>
      <c r="I119">
        <f t="shared" si="25"/>
        <v>0</v>
      </c>
      <c r="J119">
        <f t="shared" si="13"/>
        <v>0</v>
      </c>
    </row>
    <row r="120" spans="1:10" x14ac:dyDescent="0.2">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
      <c r="A159" s="43">
        <f t="shared" si="21"/>
        <v>2700000000000</v>
      </c>
      <c r="B159">
        <f t="shared" si="27"/>
        <v>2700000000000</v>
      </c>
      <c r="C159">
        <f t="shared" si="28"/>
        <v>2700000000000</v>
      </c>
      <c r="D159">
        <f t="shared" si="28"/>
        <v>0</v>
      </c>
      <c r="E159">
        <f t="shared" si="26"/>
        <v>2700000000000</v>
      </c>
      <c r="F159">
        <f t="shared" si="26"/>
        <v>2700000000000</v>
      </c>
      <c r="G159">
        <f t="shared" si="26"/>
        <v>2700000000000</v>
      </c>
      <c r="H159">
        <f t="shared" si="26"/>
        <v>2700000000000</v>
      </c>
      <c r="I159">
        <f t="shared" si="26"/>
        <v>2700000000000</v>
      </c>
      <c r="J159">
        <f t="shared" si="26"/>
        <v>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183</v>
      </c>
      <c r="D1" t="s">
        <v>182</v>
      </c>
    </row>
    <row r="2" spans="1:5" x14ac:dyDescent="0.2">
      <c r="A2" t="s">
        <v>180</v>
      </c>
      <c r="B2" s="47">
        <v>85</v>
      </c>
      <c r="C2" t="s">
        <v>181</v>
      </c>
      <c r="D2">
        <f>B2*1000000</f>
        <v>85000000</v>
      </c>
      <c r="E2" t="s">
        <v>9</v>
      </c>
    </row>
    <row r="3" spans="1:5" x14ac:dyDescent="0.2">
      <c r="A3" t="s">
        <v>184</v>
      </c>
      <c r="B3" s="47">
        <v>3000</v>
      </c>
      <c r="C3" t="s">
        <v>30</v>
      </c>
      <c r="D3">
        <f>B3*0.000000000001</f>
        <v>3E-9</v>
      </c>
      <c r="E3" t="s">
        <v>24</v>
      </c>
    </row>
    <row r="4" spans="1:5" x14ac:dyDescent="0.2">
      <c r="A4" t="s">
        <v>186</v>
      </c>
      <c r="B4" s="48">
        <f>1000000000*1/((D2*2*3.14159)^2*D3)</f>
        <v>1.1686430773614742</v>
      </c>
      <c r="C4" t="s">
        <v>187</v>
      </c>
      <c r="D4">
        <f>B4/1000000000</f>
        <v>1.1686430773614743E-9</v>
      </c>
      <c r="E4" t="s">
        <v>19</v>
      </c>
    </row>
    <row r="5" spans="1:5" x14ac:dyDescent="0.2">
      <c r="A5" t="s">
        <v>185</v>
      </c>
      <c r="B5">
        <f>4*B3</f>
        <v>12000</v>
      </c>
      <c r="C5" t="s">
        <v>30</v>
      </c>
      <c r="D5">
        <f>B5*0.000000000001</f>
        <v>1.2E-8</v>
      </c>
      <c r="E5" t="s">
        <v>24</v>
      </c>
    </row>
    <row r="6" spans="1:5" x14ac:dyDescent="0.2">
      <c r="A6" t="s">
        <v>188</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75" x14ac:dyDescent="0.2"/>
  <sheetData>
    <row r="3" spans="1:5" x14ac:dyDescent="0.2">
      <c r="A3" t="s">
        <v>155</v>
      </c>
      <c r="B3" t="e">
        <f>Iripple1</f>
        <v>#NAME?</v>
      </c>
    </row>
    <row r="4" spans="1:5" x14ac:dyDescent="0.2">
      <c r="A4" t="s">
        <v>6</v>
      </c>
      <c r="B4">
        <f>Fsw</f>
        <v>2000000</v>
      </c>
    </row>
    <row r="6" spans="1:5" x14ac:dyDescent="0.2">
      <c r="A6" t="s">
        <v>142</v>
      </c>
      <c r="B6" s="41">
        <v>0.5</v>
      </c>
      <c r="C6" t="s">
        <v>63</v>
      </c>
      <c r="D6">
        <f>B6/1000</f>
        <v>5.0000000000000001E-4</v>
      </c>
      <c r="E6" t="s">
        <v>20</v>
      </c>
    </row>
    <row r="7" spans="1:5" x14ac:dyDescent="0.2">
      <c r="A7" t="s">
        <v>153</v>
      </c>
      <c r="B7" s="41">
        <v>20</v>
      </c>
      <c r="C7" t="s">
        <v>23</v>
      </c>
      <c r="D7">
        <f>B7/1000000</f>
        <v>2.0000000000000002E-5</v>
      </c>
      <c r="E7" t="s">
        <v>24</v>
      </c>
    </row>
    <row r="9" spans="1:5" x14ac:dyDescent="0.2">
      <c r="A9" t="s">
        <v>143</v>
      </c>
      <c r="B9" s="41">
        <v>20</v>
      </c>
      <c r="C9" t="s">
        <v>63</v>
      </c>
      <c r="D9">
        <f>B9/1000</f>
        <v>0.02</v>
      </c>
      <c r="E9" t="s">
        <v>20</v>
      </c>
    </row>
    <row r="10" spans="1:5" x14ac:dyDescent="0.2">
      <c r="A10" t="s">
        <v>154</v>
      </c>
      <c r="B10" s="41">
        <v>68</v>
      </c>
      <c r="C10" t="s">
        <v>23</v>
      </c>
      <c r="D10">
        <f>B10/1000000</f>
        <v>6.7999999999999999E-5</v>
      </c>
      <c r="E10" t="s">
        <v>24</v>
      </c>
    </row>
    <row r="12" spans="1:5" x14ac:dyDescent="0.2">
      <c r="A12" t="s">
        <v>157</v>
      </c>
      <c r="B12">
        <f>(D7/(D7+D10))*SQRT((D9*D10*B4)^2+1)/SQRT((((D6+D9)*D7*D10/(D10+D7))*B4)^2+1)</f>
        <v>0.55635221119790346</v>
      </c>
      <c r="C12" t="s">
        <v>156</v>
      </c>
    </row>
    <row r="13" spans="1:5" x14ac:dyDescent="0.2">
      <c r="A13" t="s">
        <v>158</v>
      </c>
      <c r="B13">
        <f>1-B12</f>
        <v>0.44364778880209654</v>
      </c>
      <c r="C13" t="s">
        <v>156</v>
      </c>
    </row>
    <row r="15" spans="1:5" x14ac:dyDescent="0.2">
      <c r="A15" t="s">
        <v>157</v>
      </c>
      <c r="B15" t="e">
        <f>B12*(Iripple1/(2*SQRT(3)))</f>
        <v>#NAME?</v>
      </c>
      <c r="C15" t="s">
        <v>1</v>
      </c>
    </row>
    <row r="16" spans="1:5" x14ac:dyDescent="0.2">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aden</cp:lastModifiedBy>
  <cp:lastPrinted>2018-10-08T16:56:44Z</cp:lastPrinted>
  <dcterms:created xsi:type="dcterms:W3CDTF">1996-10-14T23:33:28Z</dcterms:created>
  <dcterms:modified xsi:type="dcterms:W3CDTF">2023-09-09T00:52:56Z</dcterms:modified>
</cp:coreProperties>
</file>